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tables/table1.xml" ContentType="application/vnd.openxmlformats-officedocument.spreadsheetml.table+xml"/>
  <Override PartName="/xl/customProperty6.bin" ContentType="application/vnd.openxmlformats-officedocument.spreadsheetml.customProperty"/>
  <Override PartName="/xl/tables/table2.xml" ContentType="application/vnd.openxmlformats-officedocument.spreadsheetml.table+xml"/>
  <Override PartName="/xl/customProperty7.bin" ContentType="application/vnd.openxmlformats-officedocument.spreadsheetml.customProperty"/>
  <Override PartName="/xl/tables/table3.xml" ContentType="application/vnd.openxmlformats-officedocument.spreadsheetml.table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4 Klantenbeheer\Facturatie\Simulatoren\2026\"/>
    </mc:Choice>
  </mc:AlternateContent>
  <xr:revisionPtr revIDLastSave="0" documentId="13_ncr:1_{4E8A5C4F-8BE9-498A-99BD-418DE69674FA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Berekening verbruik" sheetId="4" r:id="rId1"/>
    <sheet name="Huishoudelijk" sheetId="2" r:id="rId2"/>
    <sheet name="Niet huishoudelijk" sheetId="3" state="hidden" r:id="rId3"/>
    <sheet name="Blad1" sheetId="5" state="hidden" r:id="rId4"/>
    <sheet name="PRIJS DW" sheetId="10" state="hidden" r:id="rId5"/>
    <sheet name="PRIJS GB NHH" sheetId="8" state="hidden" r:id="rId6"/>
    <sheet name="PRIJS GB HH" sheetId="7" state="hidden" r:id="rId7"/>
    <sheet name="PRIJS CAPA" sheetId="13" state="hidden" r:id="rId8"/>
    <sheet name="HH of NHH" sheetId="12" state="hidden" r:id="rId9"/>
    <sheet name="Blad4" sheetId="11" state="hidden" r:id="rId10"/>
  </sheets>
  <definedNames>
    <definedName name="_xlnm._FilterDatabase" localSheetId="7" hidden="1">'PRIJS CAPA'!$A$1:$B$10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0" i="10" l="1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49" i="10"/>
  <c r="E248" i="10"/>
  <c r="D248" i="10"/>
  <c r="E247" i="10"/>
  <c r="D247" i="10"/>
  <c r="E246" i="10"/>
  <c r="D246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D8" i="2"/>
  <c r="L8" i="2" s="1"/>
  <c r="J9" i="3" l="1"/>
  <c r="I23" i="4" l="1"/>
  <c r="J8" i="2" l="1"/>
  <c r="N8" i="2" s="1"/>
  <c r="D8" i="3"/>
  <c r="J8" i="3" s="1"/>
  <c r="J17" i="3" l="1"/>
  <c r="L23" i="3" l="1"/>
  <c r="L16" i="3"/>
  <c r="L7" i="3"/>
  <c r="H7" i="3"/>
  <c r="H23" i="3"/>
  <c r="H6" i="3"/>
  <c r="H22" i="3"/>
  <c r="L22" i="3" s="1"/>
  <c r="H15" i="3"/>
  <c r="H16" i="3"/>
  <c r="H8" i="3"/>
  <c r="L8" i="3" s="1"/>
  <c r="G18" i="12"/>
  <c r="E18" i="12"/>
  <c r="G16" i="12"/>
  <c r="E16" i="12"/>
  <c r="B18" i="12" s="1"/>
  <c r="E14" i="12"/>
  <c r="B16" i="12" s="1"/>
  <c r="G12" i="12"/>
  <c r="E12" i="12"/>
  <c r="G10" i="12"/>
  <c r="E10" i="12"/>
  <c r="B12" i="12" s="1"/>
  <c r="E8" i="12"/>
  <c r="B10" i="12" s="1"/>
  <c r="G6" i="12"/>
  <c r="E6" i="12"/>
  <c r="B8" i="12" s="1"/>
  <c r="E2" i="10"/>
  <c r="J10" i="3"/>
  <c r="S5" i="3"/>
  <c r="S4" i="3"/>
  <c r="S3" i="3"/>
  <c r="N31" i="2"/>
  <c r="L26" i="2"/>
  <c r="J24" i="2"/>
  <c r="L18" i="2"/>
  <c r="L17" i="2"/>
  <c r="J15" i="2"/>
  <c r="N15" i="2" s="1"/>
  <c r="L10" i="2"/>
  <c r="L9" i="2"/>
  <c r="J7" i="2"/>
  <c r="U6" i="2"/>
  <c r="U5" i="2"/>
  <c r="U4" i="2"/>
  <c r="U3" i="2"/>
  <c r="D32" i="4"/>
  <c r="P14" i="4"/>
  <c r="K14" i="4"/>
  <c r="K10" i="4"/>
  <c r="L7" i="4"/>
  <c r="J9" i="2" l="1"/>
  <c r="J25" i="2" s="1"/>
  <c r="N25" i="2" s="1"/>
  <c r="H9" i="3"/>
  <c r="H10" i="3" s="1"/>
  <c r="H17" i="3"/>
  <c r="L17" i="3" s="1"/>
  <c r="H24" i="3"/>
  <c r="L24" i="3" s="1"/>
  <c r="L9" i="4"/>
  <c r="L11" i="4" s="1"/>
  <c r="L13" i="4" s="1"/>
  <c r="A21" i="11"/>
  <c r="A20" i="11"/>
  <c r="A18" i="11"/>
  <c r="A17" i="11"/>
  <c r="A6" i="11"/>
  <c r="A5" i="11"/>
  <c r="A9" i="11"/>
  <c r="A8" i="11"/>
  <c r="A12" i="11"/>
  <c r="A11" i="11"/>
  <c r="J6" i="2"/>
  <c r="N6" i="2" s="1"/>
  <c r="J16" i="2"/>
  <c r="U9" i="2"/>
  <c r="N16" i="2"/>
  <c r="J23" i="2"/>
  <c r="N23" i="2" s="1"/>
  <c r="L6" i="3"/>
  <c r="S9" i="3"/>
  <c r="N7" i="2"/>
  <c r="N24" i="2"/>
  <c r="B14" i="12"/>
  <c r="U7" i="2"/>
  <c r="S7" i="3"/>
  <c r="L15" i="3"/>
  <c r="J10" i="2" l="1"/>
  <c r="N10" i="2" s="1"/>
  <c r="L9" i="3"/>
  <c r="L10" i="3"/>
  <c r="L26" i="3"/>
  <c r="J17" i="2"/>
  <c r="N17" i="2" s="1"/>
  <c r="N9" i="2"/>
  <c r="L19" i="3"/>
  <c r="A15" i="11"/>
  <c r="A14" i="11"/>
  <c r="L12" i="3" l="1"/>
  <c r="L28" i="3" s="1"/>
  <c r="P25" i="4" s="1"/>
  <c r="J26" i="2"/>
  <c r="N26" i="2" s="1"/>
  <c r="N28" i="2" s="1"/>
  <c r="J18" i="2"/>
  <c r="N18" i="2" s="1"/>
  <c r="N20" i="2" s="1"/>
  <c r="N12" i="2"/>
  <c r="L25" i="4" l="1"/>
  <c r="N30" i="2"/>
  <c r="N32" i="2" s="1"/>
  <c r="P17" i="4" l="1"/>
  <c r="P23" i="4"/>
  <c r="L23" i="4" s="1"/>
</calcChain>
</file>

<file path=xl/sharedStrings.xml><?xml version="1.0" encoding="utf-8"?>
<sst xmlns="http://schemas.openxmlformats.org/spreadsheetml/2006/main" count="1926" uniqueCount="389">
  <si>
    <t>m³</t>
  </si>
  <si>
    <t>Drinkwater</t>
  </si>
  <si>
    <t>€</t>
  </si>
  <si>
    <t>Subtotaal drinkwater</t>
  </si>
  <si>
    <t>Hoeveelheid</t>
  </si>
  <si>
    <t>Eenheidsprijs</t>
  </si>
  <si>
    <t>Subtotaal</t>
  </si>
  <si>
    <t>€/j</t>
  </si>
  <si>
    <t>€/m³</t>
  </si>
  <si>
    <t>d</t>
  </si>
  <si>
    <t>Totaal</t>
  </si>
  <si>
    <t>Meerverbruik (van 501 m³ tot 50 000 m³/jaar)</t>
  </si>
  <si>
    <t>Klantgegevens</t>
  </si>
  <si>
    <t>Verbruik=</t>
  </si>
  <si>
    <t>Huidige meterstand*</t>
  </si>
  <si>
    <t xml:space="preserve">Korting sociaal tarief (indien van toepassing): -80% </t>
  </si>
  <si>
    <t xml:space="preserve">Comforttarief </t>
  </si>
  <si>
    <t>Ga naar simulatie huishoudelijk tarief</t>
  </si>
  <si>
    <t>Bovengemeentelijke bijdrage</t>
  </si>
  <si>
    <t>Gemeentelijke bijdrage</t>
  </si>
  <si>
    <t>Subtotaal gemeentelijke bijdrage</t>
  </si>
  <si>
    <t>Subtotaal bovengemeentelijke bijdrage</t>
  </si>
  <si>
    <t xml:space="preserve">Vlak tarief </t>
  </si>
  <si>
    <t xml:space="preserve">Vlak tarief  </t>
  </si>
  <si>
    <t>Aantal wooneenheden</t>
  </si>
  <si>
    <t>Aantal gedomicilieerden</t>
  </si>
  <si>
    <t>Sociaal tarief</t>
  </si>
  <si>
    <t>Verbruiksperiode (in dagen):</t>
  </si>
  <si>
    <t>Overzicht parameters simulatie</t>
  </si>
  <si>
    <t>Verbruik (in m³):</t>
  </si>
  <si>
    <t>nvt.</t>
  </si>
  <si>
    <t>Ga terug naar parameters</t>
  </si>
  <si>
    <t>Vlak tarief (tot 500 m³/jaar)</t>
  </si>
  <si>
    <t xml:space="preserve">Vastrecht per wooneenheid  </t>
  </si>
  <si>
    <t>Korting vastrecht per gedomicilieerde</t>
  </si>
  <si>
    <t>Simulatie van het factuurbedrag voor een huishoudelijke klant</t>
  </si>
  <si>
    <t>Simulatie van het factuurbedrag voor een niet-huishoudelijke klant</t>
  </si>
  <si>
    <t>Opmerking: niet-huishoudelijke klanten krijgen geen sociaal tarief toegekend op hun factuur. De korting wordt bij hen via compensatie uitgekeerd.</t>
  </si>
  <si>
    <t>Basistarief (30 m³/jaar per gedomicilieerde en per wooneenheid)</t>
  </si>
  <si>
    <t>Vorige meterstand</t>
  </si>
  <si>
    <t>nee</t>
  </si>
  <si>
    <t>ja</t>
  </si>
  <si>
    <t>Postcode</t>
  </si>
  <si>
    <t>Gemeente</t>
  </si>
  <si>
    <t>Hoofdgemeente</t>
  </si>
  <si>
    <t>Basistarief</t>
  </si>
  <si>
    <t>Comfortarief</t>
  </si>
  <si>
    <t>Aalst</t>
  </si>
  <si>
    <t xml:space="preserve">Baardegem </t>
  </si>
  <si>
    <t xml:space="preserve">Erembodegem </t>
  </si>
  <si>
    <t>Gijzegem</t>
  </si>
  <si>
    <t>Herdersem</t>
  </si>
  <si>
    <t>Hofstade</t>
  </si>
  <si>
    <t>Meldert</t>
  </si>
  <si>
    <t>Moorsel</t>
  </si>
  <si>
    <t>Nieuwerkerken</t>
  </si>
  <si>
    <t>Aalter</t>
  </si>
  <si>
    <t>Bellem</t>
  </si>
  <si>
    <t>Lotenhulle</t>
  </si>
  <si>
    <t>Poeke</t>
  </si>
  <si>
    <t>Essene</t>
  </si>
  <si>
    <t>Affligem</t>
  </si>
  <si>
    <t>Hekelgem</t>
  </si>
  <si>
    <t>Teralfene</t>
  </si>
  <si>
    <t>Asse</t>
  </si>
  <si>
    <t>Bekkerzeel</t>
  </si>
  <si>
    <t>Kobbegem</t>
  </si>
  <si>
    <t>Mollem</t>
  </si>
  <si>
    <t xml:space="preserve">Relegem       </t>
  </si>
  <si>
    <t xml:space="preserve">Zellik           </t>
  </si>
  <si>
    <t>Beernem</t>
  </si>
  <si>
    <t>Oedelem</t>
  </si>
  <si>
    <t xml:space="preserve">Sint-Joris </t>
  </si>
  <si>
    <t>Beersel</t>
  </si>
  <si>
    <t>Alsemberg</t>
  </si>
  <si>
    <t>Dworp</t>
  </si>
  <si>
    <t>Huizingen</t>
  </si>
  <si>
    <t>Lot</t>
  </si>
  <si>
    <t>Blankenberge</t>
  </si>
  <si>
    <t>Uitkerke</t>
  </si>
  <si>
    <t>Elst</t>
  </si>
  <si>
    <t>Brakel</t>
  </si>
  <si>
    <t>Everbeek</t>
  </si>
  <si>
    <t>Michelbeke</t>
  </si>
  <si>
    <t>Nederbrakel</t>
  </si>
  <si>
    <t>Opbrakel</t>
  </si>
  <si>
    <t>Parike</t>
  </si>
  <si>
    <t>Sint-Maria-Oudenhove</t>
  </si>
  <si>
    <t>Zegelsem</t>
  </si>
  <si>
    <t>Assebroek</t>
  </si>
  <si>
    <t>Brugge</t>
  </si>
  <si>
    <t>Dudzele</t>
  </si>
  <si>
    <t>Koolkerke</t>
  </si>
  <si>
    <t>Sint-Andries</t>
  </si>
  <si>
    <t>Sint-Kruis</t>
  </si>
  <si>
    <t>Sint-Michiels</t>
  </si>
  <si>
    <t>Sint-Pieters</t>
  </si>
  <si>
    <t>Zeebrugge-Lissewege</t>
  </si>
  <si>
    <t>Buggenhout</t>
  </si>
  <si>
    <t>Opdorp</t>
  </si>
  <si>
    <t>Damme</t>
  </si>
  <si>
    <t>Lapscheure</t>
  </si>
  <si>
    <t>Moerkerke</t>
  </si>
  <si>
    <t>Oostkerke-Hoeke</t>
  </si>
  <si>
    <t>Sijsele</t>
  </si>
  <si>
    <t>Klemskerke</t>
  </si>
  <si>
    <t>De Haan</t>
  </si>
  <si>
    <t>Vlissegem</t>
  </si>
  <si>
    <t>Wenduine</t>
  </si>
  <si>
    <t>Astene</t>
  </si>
  <si>
    <t>Deinze</t>
  </si>
  <si>
    <t>Bachte-Maria-Leerne</t>
  </si>
  <si>
    <t xml:space="preserve">Gottem </t>
  </si>
  <si>
    <t>Grammene</t>
  </si>
  <si>
    <t>Meigem</t>
  </si>
  <si>
    <t>Petegem-Leie</t>
  </si>
  <si>
    <t>Sint-Martens-Leerne</t>
  </si>
  <si>
    <t>Vinkt</t>
  </si>
  <si>
    <t>Wontergem</t>
  </si>
  <si>
    <t>Zeveren</t>
  </si>
  <si>
    <t>Appels</t>
  </si>
  <si>
    <t>Dendermonde</t>
  </si>
  <si>
    <t>Baasrode</t>
  </si>
  <si>
    <t>Grembergen</t>
  </si>
  <si>
    <t>Mespelare</t>
  </si>
  <si>
    <t>Oudegem</t>
  </si>
  <si>
    <t>Schoonaarde</t>
  </si>
  <si>
    <t>Sint-Gillis-Dendermonde</t>
  </si>
  <si>
    <t>De Pinte</t>
  </si>
  <si>
    <t>Zevergem</t>
  </si>
  <si>
    <t>Destelbergen</t>
  </si>
  <si>
    <t>Heusden</t>
  </si>
  <si>
    <t>Dilbeek</t>
  </si>
  <si>
    <t>Aaigem</t>
  </si>
  <si>
    <t>Erpe-Mere</t>
  </si>
  <si>
    <t>Bambrugge</t>
  </si>
  <si>
    <t>Burst</t>
  </si>
  <si>
    <t>Erondegem</t>
  </si>
  <si>
    <t>Erpe</t>
  </si>
  <si>
    <t>Mere</t>
  </si>
  <si>
    <t>Ottergem</t>
  </si>
  <si>
    <t>Vlekkem</t>
  </si>
  <si>
    <t>Asper</t>
  </si>
  <si>
    <t>Gavere</t>
  </si>
  <si>
    <t>Baaigem</t>
  </si>
  <si>
    <t>Dikkelvenne</t>
  </si>
  <si>
    <t>Semmerzake</t>
  </si>
  <si>
    <t>Vurste</t>
  </si>
  <si>
    <t>Desteldonk</t>
  </si>
  <si>
    <t>Gent</t>
  </si>
  <si>
    <t>Drongen</t>
  </si>
  <si>
    <t>Gentbrugge</t>
  </si>
  <si>
    <t>Gent-centrum</t>
  </si>
  <si>
    <t>Ledeberg</t>
  </si>
  <si>
    <t xml:space="preserve">Mariakerke </t>
  </si>
  <si>
    <t>Mendonk</t>
  </si>
  <si>
    <t>Oostakker</t>
  </si>
  <si>
    <t>Sint-Amandsberg</t>
  </si>
  <si>
    <t>Afsnee</t>
  </si>
  <si>
    <t>Sint-Denijs-Westrem</t>
  </si>
  <si>
    <t>Sint-Kruis-Winkel</t>
  </si>
  <si>
    <t>Wondelgem</t>
  </si>
  <si>
    <t>Zwijnaarde</t>
  </si>
  <si>
    <t>Halle</t>
  </si>
  <si>
    <t>Hamme</t>
  </si>
  <si>
    <t>Moerzeke</t>
  </si>
  <si>
    <t>Borsbeke</t>
  </si>
  <si>
    <t>Herzele</t>
  </si>
  <si>
    <t>Hillegem</t>
  </si>
  <si>
    <t>Ressegem</t>
  </si>
  <si>
    <t>Sint-Antelinks</t>
  </si>
  <si>
    <t>Sint-Lievens-Esse</t>
  </si>
  <si>
    <t>Steenhuize-Wijnhuize</t>
  </si>
  <si>
    <t>Woubrechtegem</t>
  </si>
  <si>
    <t>Sint-Kornelis-Horebeke</t>
  </si>
  <si>
    <t>Horebeke</t>
  </si>
  <si>
    <t>Sint-Maria-Horebeke</t>
  </si>
  <si>
    <t>Stalhille</t>
  </si>
  <si>
    <t>Jabbeke</t>
  </si>
  <si>
    <t>Varsenare</t>
  </si>
  <si>
    <t>Snellegem</t>
  </si>
  <si>
    <t>Zerkegem</t>
  </si>
  <si>
    <t>Berchem</t>
  </si>
  <si>
    <t>Kluisbergen</t>
  </si>
  <si>
    <t>Kwaremont</t>
  </si>
  <si>
    <t>Ruien</t>
  </si>
  <si>
    <t>Zulzeke</t>
  </si>
  <si>
    <t>Knesselare</t>
  </si>
  <si>
    <t>Ursel</t>
  </si>
  <si>
    <t>Kruishoutem</t>
  </si>
  <si>
    <t>Lozer</t>
  </si>
  <si>
    <t>Nokere</t>
  </si>
  <si>
    <t>Wannegem-Lede</t>
  </si>
  <si>
    <t>Denderbelle</t>
  </si>
  <si>
    <t>Lebbeke</t>
  </si>
  <si>
    <t>Wieze</t>
  </si>
  <si>
    <t>Impe</t>
  </si>
  <si>
    <t>Lede</t>
  </si>
  <si>
    <t>Oordegem</t>
  </si>
  <si>
    <t>Smetlede</t>
  </si>
  <si>
    <t>Wanzele</t>
  </si>
  <si>
    <t>Liedekerke</t>
  </si>
  <si>
    <t>Sint-Maria-Lierde</t>
  </si>
  <si>
    <t>Lierde</t>
  </si>
  <si>
    <t>Sint-Martens-Lierde</t>
  </si>
  <si>
    <t>Deftinge</t>
  </si>
  <si>
    <t>Lochristi</t>
  </si>
  <si>
    <t>Beervelde</t>
  </si>
  <si>
    <t>Zaffelare</t>
  </si>
  <si>
    <t>Zeveneken</t>
  </si>
  <si>
    <t>Lovendegem</t>
  </si>
  <si>
    <t>Vinderhoute</t>
  </si>
  <si>
    <t>Etikhove</t>
  </si>
  <si>
    <t>Maarkedal</t>
  </si>
  <si>
    <t>Maarke-Kerkem</t>
  </si>
  <si>
    <t>Nukerke</t>
  </si>
  <si>
    <t>Schorisse</t>
  </si>
  <si>
    <t>Machelen</t>
  </si>
  <si>
    <t>Diegem</t>
  </si>
  <si>
    <t>Gontrode</t>
  </si>
  <si>
    <t>Melle</t>
  </si>
  <si>
    <t>Bottelare</t>
  </si>
  <si>
    <t>Merelbeke</t>
  </si>
  <si>
    <t>Lemberge</t>
  </si>
  <si>
    <t>Melsen</t>
  </si>
  <si>
    <t>Munte</t>
  </si>
  <si>
    <t>Schelderode</t>
  </si>
  <si>
    <t>Slijpe</t>
  </si>
  <si>
    <t>Middelkerke</t>
  </si>
  <si>
    <t>Lombardsijde</t>
  </si>
  <si>
    <t>Mannekensvere</t>
  </si>
  <si>
    <t>Schore</t>
  </si>
  <si>
    <t>Sint-Pieters-Kapelle</t>
  </si>
  <si>
    <t>Westende</t>
  </si>
  <si>
    <t>Wilskerke</t>
  </si>
  <si>
    <t>Leffinge</t>
  </si>
  <si>
    <t>Moorslede</t>
  </si>
  <si>
    <t>Eke</t>
  </si>
  <si>
    <t>Nazareth</t>
  </si>
  <si>
    <t>Hansbeke</t>
  </si>
  <si>
    <t>Nevele</t>
  </si>
  <si>
    <t>Landegem</t>
  </si>
  <si>
    <t>Merendree</t>
  </si>
  <si>
    <t>Poesele</t>
  </si>
  <si>
    <t>Vosselare</t>
  </si>
  <si>
    <t>Mariakerke</t>
  </si>
  <si>
    <t>Oostende</t>
  </si>
  <si>
    <t>Stene</t>
  </si>
  <si>
    <t>Raversijde</t>
  </si>
  <si>
    <t>Voorhaven</t>
  </si>
  <si>
    <t>Balegem</t>
  </si>
  <si>
    <t>Oosterzele</t>
  </si>
  <si>
    <t>Gijzenzele</t>
  </si>
  <si>
    <t>Landskouter</t>
  </si>
  <si>
    <t>Moortsele</t>
  </si>
  <si>
    <t>Scheldewindeke</t>
  </si>
  <si>
    <t>Oostkamp</t>
  </si>
  <si>
    <t>Hertsberge</t>
  </si>
  <si>
    <t>Ruddervoorde</t>
  </si>
  <si>
    <t>Waardamme</t>
  </si>
  <si>
    <t>Bevere</t>
  </si>
  <si>
    <t>Oudenaarde</t>
  </si>
  <si>
    <t>Edelare</t>
  </si>
  <si>
    <t>Leupegem</t>
  </si>
  <si>
    <t>Eine</t>
  </si>
  <si>
    <t>Ename</t>
  </si>
  <si>
    <t>Heurne</t>
  </si>
  <si>
    <t>Mater</t>
  </si>
  <si>
    <t>Melden</t>
  </si>
  <si>
    <t>Mullem</t>
  </si>
  <si>
    <t>Nederename</t>
  </si>
  <si>
    <t>Ooike</t>
  </si>
  <si>
    <t>Oudenaarde centrum</t>
  </si>
  <si>
    <t>Volkegem</t>
  </si>
  <si>
    <t>Welden</t>
  </si>
  <si>
    <t>Ronse</t>
  </si>
  <si>
    <t>Ruiselede</t>
  </si>
  <si>
    <t>Bavegem</t>
  </si>
  <si>
    <t>Sint-Lievens-Houtem</t>
  </si>
  <si>
    <t>Letterhoutem</t>
  </si>
  <si>
    <t>Vlierzele</t>
  </si>
  <si>
    <t>Zonnegem</t>
  </si>
  <si>
    <t>Deurle</t>
  </si>
  <si>
    <t>Sint-Martens-Latem</t>
  </si>
  <si>
    <t>Sint-Katherina-Lombeek</t>
  </si>
  <si>
    <t>Ternat</t>
  </si>
  <si>
    <t>Wambeek</t>
  </si>
  <si>
    <t>Massemen</t>
  </si>
  <si>
    <t>Wetteren</t>
  </si>
  <si>
    <t>Westrem</t>
  </si>
  <si>
    <t>Schellebelle</t>
  </si>
  <si>
    <t>Wichelen</t>
  </si>
  <si>
    <t>Serskamp</t>
  </si>
  <si>
    <t>Elsegem</t>
  </si>
  <si>
    <t>Wortegem-Petegem</t>
  </si>
  <si>
    <t>Moregem</t>
  </si>
  <si>
    <t>Petegem-aan-de-Schelde</t>
  </si>
  <si>
    <t>Wortegem</t>
  </si>
  <si>
    <t>Zelzate</t>
  </si>
  <si>
    <t>Huise</t>
  </si>
  <si>
    <t>Zingem</t>
  </si>
  <si>
    <t>Ouwegem</t>
  </si>
  <si>
    <t>Oostwinkel</t>
  </si>
  <si>
    <t>Zomergem</t>
  </si>
  <si>
    <t>Ronsele</t>
  </si>
  <si>
    <t>Elene</t>
  </si>
  <si>
    <t>Zottegem</t>
  </si>
  <si>
    <t>Erwetegem</t>
  </si>
  <si>
    <t>Godveerdegem</t>
  </si>
  <si>
    <t>Grotenberge</t>
  </si>
  <si>
    <t>Leeuwergem</t>
  </si>
  <si>
    <t>Oombergen</t>
  </si>
  <si>
    <t xml:space="preserve">Sint-Goriks-Oudenhove </t>
  </si>
  <si>
    <t>Strijpen</t>
  </si>
  <si>
    <t>Velzeke-Ruddershove</t>
  </si>
  <si>
    <t>Houtave</t>
  </si>
  <si>
    <t>Zuienkerke</t>
  </si>
  <si>
    <t>Meetkerke</t>
  </si>
  <si>
    <t>Nieuwmunster</t>
  </si>
  <si>
    <t>Zulte</t>
  </si>
  <si>
    <t>Olsene</t>
  </si>
  <si>
    <t>Beerlegem</t>
  </si>
  <si>
    <t>Zwalm</t>
  </si>
  <si>
    <t>Dikkele</t>
  </si>
  <si>
    <t>Hundelgem</t>
  </si>
  <si>
    <t xml:space="preserve">Meilegem </t>
  </si>
  <si>
    <t>Munkzwalm</t>
  </si>
  <si>
    <t>Nederzwalm-Hermelgem</t>
  </si>
  <si>
    <t>Paulatem</t>
  </si>
  <si>
    <t>Roborst</t>
  </si>
  <si>
    <t>Rozebeke</t>
  </si>
  <si>
    <t>Sint-Blasius-Boekel</t>
  </si>
  <si>
    <t>Sint-Denijs-Boekel</t>
  </si>
  <si>
    <t xml:space="preserve">Sint-Maria-Latem </t>
  </si>
  <si>
    <t>Basistarief HH</t>
  </si>
  <si>
    <t>Comfortarief HH</t>
  </si>
  <si>
    <t>Vlaktarief NHH</t>
  </si>
  <si>
    <t>Meerverbruik NHH</t>
  </si>
  <si>
    <t>Vastrecht per wooneenheid of watermeter</t>
  </si>
  <si>
    <t>Vlak tarief</t>
  </si>
  <si>
    <t>BTW</t>
  </si>
  <si>
    <t>Postcode van de gemeente</t>
  </si>
  <si>
    <t>Huishoudelijk tarief</t>
  </si>
  <si>
    <t>Verbruik</t>
  </si>
  <si>
    <t>Aantal dagen verbruik</t>
  </si>
  <si>
    <r>
      <t xml:space="preserve">Sociaal tarief </t>
    </r>
    <r>
      <rPr>
        <b/>
        <sz val="9"/>
        <rFont val="Calibri"/>
        <family val="2"/>
        <scheme val="minor"/>
      </rPr>
      <t>(gelieve een keuze te maken)</t>
    </r>
    <r>
      <rPr>
        <b/>
        <sz val="11"/>
        <rFont val="Calibri"/>
        <family val="2"/>
        <scheme val="minor"/>
      </rPr>
      <t>?</t>
    </r>
  </si>
  <si>
    <r>
      <t xml:space="preserve">Startdatum verbruiksperiode </t>
    </r>
    <r>
      <rPr>
        <b/>
        <sz val="9"/>
        <rFont val="Calibri"/>
        <family val="2"/>
        <scheme val="minor"/>
      </rPr>
      <t xml:space="preserve">(xx/xx/20xx) </t>
    </r>
  </si>
  <si>
    <r>
      <t xml:space="preserve">Einddatum verbruiksperiode </t>
    </r>
    <r>
      <rPr>
        <b/>
        <sz val="9"/>
        <rFont val="Calibri"/>
        <family val="2"/>
        <scheme val="minor"/>
      </rPr>
      <t>(xx/xx/20xx)</t>
    </r>
  </si>
  <si>
    <t>Verbruiksgegevens</t>
  </si>
  <si>
    <t>Tussentijdse facturen</t>
  </si>
  <si>
    <t>Niet huishoudelijk tarief</t>
  </si>
  <si>
    <r>
      <t xml:space="preserve">Type voorschotplan </t>
    </r>
    <r>
      <rPr>
        <b/>
        <sz val="9"/>
        <rFont val="Calibri"/>
        <family val="2"/>
        <scheme val="minor"/>
      </rPr>
      <t>(gelieve een keuze te maken)</t>
    </r>
  </si>
  <si>
    <t>Geen</t>
  </si>
  <si>
    <t xml:space="preserve">Maandelijks </t>
  </si>
  <si>
    <t>Driemaandelijks</t>
  </si>
  <si>
    <t>incl 6% BTW</t>
  </si>
  <si>
    <t>Opmerking berekening verbruik</t>
  </si>
  <si>
    <t>INPUT</t>
  </si>
  <si>
    <t>OUTPUT</t>
  </si>
  <si>
    <t>Verbruik op 365 dagen</t>
  </si>
  <si>
    <t>Verbruik per persoon op 365 dagen</t>
  </si>
  <si>
    <r>
      <t xml:space="preserve">Welk tarief moet ik toekennen? </t>
    </r>
    <r>
      <rPr>
        <b/>
        <sz val="12"/>
        <color theme="9" tint="-0.249977111117893"/>
        <rFont val="Calibri"/>
        <family val="2"/>
        <scheme val="minor"/>
      </rPr>
      <t>(indien nodig eerst alle velden leegmaken)</t>
    </r>
  </si>
  <si>
    <t>VRAAG</t>
  </si>
  <si>
    <t>ANTWOORD</t>
  </si>
  <si>
    <t>VOORBEELD</t>
  </si>
  <si>
    <t>Ja, er is minstens één wooneenheid</t>
  </si>
  <si>
    <t>Nee, er is geen wooneenheid (enkel een watermeter)</t>
  </si>
  <si>
    <t>1. Is er minstens één wooneenheid aan de installatie verbonden?</t>
  </si>
  <si>
    <t>Drogenbos</t>
  </si>
  <si>
    <t>Linkebeek</t>
  </si>
  <si>
    <t>Wemmel</t>
  </si>
  <si>
    <t>Zaventem</t>
  </si>
  <si>
    <t>Sint-Stevens-Woluwe</t>
  </si>
  <si>
    <t>Sterrebeek</t>
  </si>
  <si>
    <t>Lievegem</t>
  </si>
  <si>
    <t>Kruisem</t>
  </si>
  <si>
    <t>Aantal wooneenheden/watermeters</t>
  </si>
  <si>
    <t>Capaciteitsvergoeding</t>
  </si>
  <si>
    <t>Capaciteitsvergoeding? Indien ja, selecteer diameter wm</t>
  </si>
  <si>
    <t>Aantal Diameter</t>
  </si>
  <si>
    <t>Capaciteitsvergoeding  - diameter :</t>
  </si>
  <si>
    <t>veld L8 volgend jaar aanpassen naar =J8/365*H8</t>
  </si>
  <si>
    <t>meerdere wooneenheden</t>
  </si>
  <si>
    <t>watermeters met diameter 20 en 30</t>
  </si>
  <si>
    <r>
      <rPr>
        <b/>
        <sz val="11"/>
        <color rgb="FFFF0000"/>
        <rFont val="Calibri"/>
        <family val="2"/>
        <scheme val="minor"/>
      </rPr>
      <t>Opgelet !</t>
    </r>
    <r>
      <rPr>
        <sz val="11"/>
        <color rgb="FFFF0000"/>
        <rFont val="Calibri"/>
        <family val="2"/>
        <scheme val="minor"/>
      </rPr>
      <t xml:space="preserve"> : er wordt geen capaciteitsvergoeding aangerekend bij</t>
    </r>
  </si>
  <si>
    <t>Opm: 2020 = schrikkeljaar</t>
  </si>
  <si>
    <t>hoofdwatermeters met individuele bemetering</t>
  </si>
  <si>
    <t>Prijs 2026</t>
  </si>
  <si>
    <t>BEREKENING VERBRUIK EN BEDRAG TUSSENTIJDSE FACTUREN (versie 12-01-2026)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</si>
</sst>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\ &quot;€&quot;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3B444F"/>
      <name val="Font Type 1"/>
    </font>
    <font>
      <sz val="11"/>
      <color rgb="FF3B444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19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</cellStyleXfs>
  <cellXfs count="201">
    <xf numFmtId="0" fontId="0" fillId="0" borderId="0" xfId="0"/>
    <xf numFmtId="0" fontId="0" fillId="2" borderId="0" xfId="0" applyFill="1"/>
    <xf numFmtId="0" fontId="0" fillId="2" borderId="19" xfId="0" applyFill="1" applyBorder="1"/>
    <xf numFmtId="2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164" fontId="26" fillId="2" borderId="0" xfId="0" applyNumberFormat="1" applyFont="1" applyFill="1"/>
    <xf numFmtId="0" fontId="25" fillId="2" borderId="0" xfId="0" applyFont="1" applyFill="1"/>
    <xf numFmtId="0" fontId="28" fillId="2" borderId="0" xfId="0" applyFont="1" applyFill="1"/>
    <xf numFmtId="0" fontId="0" fillId="2" borderId="0" xfId="0" applyFill="1" applyAlignment="1">
      <alignment horizontal="righ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0" fillId="2" borderId="0" xfId="0" applyFill="1" applyAlignment="1">
      <alignment horizontal="left" indent="1"/>
    </xf>
    <xf numFmtId="0" fontId="27" fillId="2" borderId="0" xfId="0" applyFont="1" applyFill="1"/>
    <xf numFmtId="2" fontId="25" fillId="2" borderId="0" xfId="0" applyNumberFormat="1" applyFont="1" applyFill="1"/>
    <xf numFmtId="2" fontId="20" fillId="2" borderId="0" xfId="0" applyNumberFormat="1" applyFont="1" applyFill="1"/>
    <xf numFmtId="0" fontId="0" fillId="2" borderId="19" xfId="0" applyFill="1" applyBorder="1" applyAlignment="1">
      <alignment horizontal="left" indent="1"/>
    </xf>
    <xf numFmtId="2" fontId="0" fillId="2" borderId="19" xfId="0" applyNumberFormat="1" applyFill="1" applyBorder="1"/>
    <xf numFmtId="0" fontId="0" fillId="2" borderId="19" xfId="0" applyFill="1" applyBorder="1" applyAlignment="1">
      <alignment horizontal="right"/>
    </xf>
    <xf numFmtId="164" fontId="0" fillId="2" borderId="0" xfId="0" applyNumberFormat="1" applyFill="1"/>
    <xf numFmtId="0" fontId="20" fillId="2" borderId="10" xfId="0" applyFont="1" applyFill="1" applyBorder="1" applyAlignment="1">
      <alignment horizontal="left" indent="1"/>
    </xf>
    <xf numFmtId="0" fontId="1" fillId="2" borderId="11" xfId="0" applyFont="1" applyFill="1" applyBorder="1"/>
    <xf numFmtId="2" fontId="20" fillId="2" borderId="11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20" fillId="2" borderId="16" xfId="0" applyFont="1" applyFill="1" applyBorder="1" applyAlignment="1">
      <alignment horizontal="left" indent="1"/>
    </xf>
    <xf numFmtId="0" fontId="1" fillId="2" borderId="17" xfId="0" applyFont="1" applyFill="1" applyBorder="1"/>
    <xf numFmtId="2" fontId="20" fillId="2" borderId="17" xfId="0" applyNumberFormat="1" applyFont="1" applyFill="1" applyBorder="1"/>
    <xf numFmtId="0" fontId="1" fillId="2" borderId="18" xfId="0" applyFont="1" applyFill="1" applyBorder="1" applyAlignment="1">
      <alignment horizontal="right"/>
    </xf>
    <xf numFmtId="0" fontId="22" fillId="2" borderId="0" xfId="0" quotePrefix="1" applyFont="1" applyFill="1"/>
    <xf numFmtId="2" fontId="23" fillId="2" borderId="0" xfId="0" applyNumberFormat="1" applyFont="1" applyFill="1"/>
    <xf numFmtId="0" fontId="23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20" fillId="2" borderId="13" xfId="0" applyFont="1" applyFill="1" applyBorder="1" applyAlignment="1">
      <alignment horizontal="left" indent="1"/>
    </xf>
    <xf numFmtId="0" fontId="1" fillId="2" borderId="14" xfId="0" applyFont="1" applyFill="1" applyBorder="1"/>
    <xf numFmtId="2" fontId="20" fillId="2" borderId="14" xfId="0" applyNumberFormat="1" applyFont="1" applyFill="1" applyBorder="1"/>
    <xf numFmtId="0" fontId="1" fillId="2" borderId="15" xfId="0" applyFont="1" applyFill="1" applyBorder="1" applyAlignment="1">
      <alignment horizontal="right"/>
    </xf>
    <xf numFmtId="0" fontId="31" fillId="2" borderId="0" xfId="0" applyFont="1" applyFill="1"/>
    <xf numFmtId="0" fontId="24" fillId="2" borderId="0" xfId="0" applyFont="1" applyFill="1" applyAlignment="1">
      <alignment horizontal="center" vertical="center"/>
    </xf>
    <xf numFmtId="0" fontId="26" fillId="2" borderId="0" xfId="0" applyFont="1" applyFill="1"/>
    <xf numFmtId="0" fontId="17" fillId="2" borderId="0" xfId="0" applyFont="1" applyFill="1"/>
    <xf numFmtId="0" fontId="15" fillId="2" borderId="0" xfId="0" applyFont="1" applyFill="1" applyAlignment="1">
      <alignment horizontal="left" indent="1"/>
    </xf>
    <xf numFmtId="0" fontId="33" fillId="2" borderId="0" xfId="0" applyFont="1" applyFill="1"/>
    <xf numFmtId="0" fontId="33" fillId="0" borderId="0" xfId="0" applyFont="1"/>
    <xf numFmtId="0" fontId="25" fillId="2" borderId="0" xfId="0" applyFont="1" applyFill="1" applyAlignment="1">
      <alignment horizontal="left" indent="1"/>
    </xf>
    <xf numFmtId="0" fontId="34" fillId="0" borderId="29" xfId="0" applyFont="1" applyBorder="1"/>
    <xf numFmtId="0" fontId="34" fillId="0" borderId="30" xfId="0" applyFont="1" applyBorder="1"/>
    <xf numFmtId="0" fontId="34" fillId="0" borderId="28" xfId="0" applyFont="1" applyBorder="1"/>
    <xf numFmtId="0" fontId="34" fillId="0" borderId="22" xfId="0" applyFont="1" applyBorder="1"/>
    <xf numFmtId="0" fontId="34" fillId="0" borderId="31" xfId="0" applyFont="1" applyBorder="1"/>
    <xf numFmtId="0" fontId="34" fillId="34" borderId="22" xfId="0" applyFont="1" applyFill="1" applyBorder="1"/>
    <xf numFmtId="0" fontId="34" fillId="34" borderId="31" xfId="0" applyFont="1" applyFill="1" applyBorder="1"/>
    <xf numFmtId="0" fontId="34" fillId="0" borderId="25" xfId="0" applyFont="1" applyBorder="1"/>
    <xf numFmtId="0" fontId="34" fillId="0" borderId="32" xfId="0" applyFont="1" applyBorder="1"/>
    <xf numFmtId="0" fontId="35" fillId="2" borderId="0" xfId="0" applyFont="1" applyFill="1"/>
    <xf numFmtId="0" fontId="35" fillId="0" borderId="0" xfId="0" applyFont="1"/>
    <xf numFmtId="164" fontId="25" fillId="2" borderId="0" xfId="0" applyNumberFormat="1" applyFont="1" applyFill="1"/>
    <xf numFmtId="0" fontId="36" fillId="0" borderId="30" xfId="0" applyFont="1" applyBorder="1"/>
    <xf numFmtId="0" fontId="37" fillId="2" borderId="0" xfId="0" applyFont="1" applyFill="1"/>
    <xf numFmtId="0" fontId="34" fillId="0" borderId="0" xfId="0" applyFont="1"/>
    <xf numFmtId="0" fontId="1" fillId="2" borderId="0" xfId="0" applyFont="1" applyFill="1" applyAlignment="1">
      <alignment horizontal="right"/>
    </xf>
    <xf numFmtId="9" fontId="0" fillId="2" borderId="0" xfId="0" applyNumberFormat="1" applyFill="1"/>
    <xf numFmtId="0" fontId="39" fillId="2" borderId="0" xfId="0" applyFont="1" applyFill="1"/>
    <xf numFmtId="0" fontId="42" fillId="2" borderId="0" xfId="0" applyFont="1" applyFill="1"/>
    <xf numFmtId="0" fontId="25" fillId="2" borderId="0" xfId="0" applyFont="1" applyFill="1" applyAlignment="1" applyProtection="1">
      <alignment horizontal="center"/>
      <protection locked="0"/>
    </xf>
    <xf numFmtId="0" fontId="39" fillId="2" borderId="0" xfId="0" applyFont="1" applyFill="1" applyAlignment="1">
      <alignment horizontal="right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46" fillId="2" borderId="0" xfId="0" applyFont="1" applyFill="1"/>
    <xf numFmtId="0" fontId="48" fillId="2" borderId="0" xfId="0" applyFont="1" applyFill="1"/>
    <xf numFmtId="0" fontId="0" fillId="2" borderId="0" xfId="0" applyFill="1" applyAlignment="1">
      <alignment horizontal="left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0" fillId="2" borderId="0" xfId="0" applyFont="1" applyFill="1" applyAlignment="1">
      <alignment horizontal="right" vertical="center"/>
    </xf>
    <xf numFmtId="0" fontId="47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9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4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0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/>
    <xf numFmtId="0" fontId="49" fillId="2" borderId="0" xfId="0" applyFont="1" applyFill="1"/>
    <xf numFmtId="0" fontId="22" fillId="2" borderId="0" xfId="0" applyFont="1" applyFill="1" applyAlignment="1">
      <alignment horizontal="left"/>
    </xf>
    <xf numFmtId="0" fontId="25" fillId="0" borderId="31" xfId="0" applyFont="1" applyBorder="1"/>
    <xf numFmtId="2" fontId="25" fillId="0" borderId="31" xfId="0" applyNumberFormat="1" applyFont="1" applyBorder="1"/>
    <xf numFmtId="0" fontId="38" fillId="0" borderId="0" xfId="0" applyFont="1"/>
    <xf numFmtId="0" fontId="38" fillId="34" borderId="0" xfId="0" applyFont="1" applyFill="1"/>
    <xf numFmtId="0" fontId="34" fillId="0" borderId="35" xfId="0" applyFont="1" applyBorder="1"/>
    <xf numFmtId="164" fontId="34" fillId="0" borderId="0" xfId="0" applyNumberFormat="1" applyFont="1"/>
    <xf numFmtId="0" fontId="38" fillId="2" borderId="0" xfId="0" applyFont="1" applyFill="1"/>
    <xf numFmtId="0" fontId="39" fillId="35" borderId="10" xfId="0" applyFont="1" applyFill="1" applyBorder="1"/>
    <xf numFmtId="0" fontId="29" fillId="35" borderId="11" xfId="0" applyFont="1" applyFill="1" applyBorder="1"/>
    <xf numFmtId="0" fontId="39" fillId="35" borderId="11" xfId="0" applyFont="1" applyFill="1" applyBorder="1"/>
    <xf numFmtId="0" fontId="39" fillId="35" borderId="12" xfId="0" applyFont="1" applyFill="1" applyBorder="1"/>
    <xf numFmtId="0" fontId="25" fillId="35" borderId="33" xfId="0" applyFont="1" applyFill="1" applyBorder="1"/>
    <xf numFmtId="0" fontId="32" fillId="35" borderId="0" xfId="0" applyFont="1" applyFill="1" applyAlignment="1">
      <alignment horizontal="left"/>
    </xf>
    <xf numFmtId="0" fontId="25" fillId="35" borderId="0" xfId="0" applyFont="1" applyFill="1"/>
    <xf numFmtId="0" fontId="25" fillId="35" borderId="34" xfId="0" applyFont="1" applyFill="1" applyBorder="1"/>
    <xf numFmtId="0" fontId="32" fillId="35" borderId="0" xfId="0" applyFont="1" applyFill="1"/>
    <xf numFmtId="0" fontId="25" fillId="35" borderId="0" xfId="0" applyFont="1" applyFill="1" applyProtection="1">
      <protection locked="0"/>
    </xf>
    <xf numFmtId="0" fontId="25" fillId="35" borderId="16" xfId="0" applyFont="1" applyFill="1" applyBorder="1"/>
    <xf numFmtId="0" fontId="25" fillId="35" borderId="17" xfId="0" applyFont="1" applyFill="1" applyBorder="1"/>
    <xf numFmtId="0" fontId="25" fillId="35" borderId="18" xfId="0" applyFont="1" applyFill="1" applyBorder="1"/>
    <xf numFmtId="0" fontId="29" fillId="35" borderId="11" xfId="44" applyFont="1" applyFill="1" applyBorder="1" applyAlignment="1">
      <alignment horizontal="left"/>
    </xf>
    <xf numFmtId="0" fontId="41" fillId="35" borderId="11" xfId="44" applyFont="1" applyFill="1" applyBorder="1" applyAlignment="1">
      <alignment horizontal="center"/>
    </xf>
    <xf numFmtId="0" fontId="40" fillId="35" borderId="11" xfId="44" applyFont="1" applyFill="1" applyBorder="1" applyAlignment="1">
      <alignment horizontal="center"/>
    </xf>
    <xf numFmtId="0" fontId="25" fillId="35" borderId="12" xfId="0" applyFont="1" applyFill="1" applyBorder="1"/>
    <xf numFmtId="0" fontId="25" fillId="35" borderId="34" xfId="0" quotePrefix="1" applyFont="1" applyFill="1" applyBorder="1"/>
    <xf numFmtId="14" fontId="25" fillId="35" borderId="0" xfId="0" applyNumberFormat="1" applyFont="1" applyFill="1" applyProtection="1">
      <protection locked="0"/>
    </xf>
    <xf numFmtId="0" fontId="25" fillId="35" borderId="0" xfId="0" applyFont="1" applyFill="1" applyAlignment="1">
      <alignment horizontal="center"/>
    </xf>
    <xf numFmtId="0" fontId="39" fillId="36" borderId="11" xfId="0" applyFont="1" applyFill="1" applyBorder="1"/>
    <xf numFmtId="0" fontId="39" fillId="36" borderId="12" xfId="0" applyFont="1" applyFill="1" applyBorder="1"/>
    <xf numFmtId="0" fontId="32" fillId="36" borderId="0" xfId="0" applyFont="1" applyFill="1"/>
    <xf numFmtId="0" fontId="25" fillId="36" borderId="34" xfId="0" applyFont="1" applyFill="1" applyBorder="1"/>
    <xf numFmtId="0" fontId="25" fillId="36" borderId="0" xfId="0" applyFont="1" applyFill="1"/>
    <xf numFmtId="0" fontId="43" fillId="36" borderId="0" xfId="0" applyFont="1" applyFill="1"/>
    <xf numFmtId="0" fontId="25" fillId="36" borderId="17" xfId="0" applyFont="1" applyFill="1" applyBorder="1"/>
    <xf numFmtId="0" fontId="25" fillId="36" borderId="18" xfId="0" applyFont="1" applyFill="1" applyBorder="1"/>
    <xf numFmtId="0" fontId="39" fillId="36" borderId="10" xfId="0" applyFont="1" applyFill="1" applyBorder="1"/>
    <xf numFmtId="0" fontId="25" fillId="36" borderId="33" xfId="0" applyFont="1" applyFill="1" applyBorder="1"/>
    <xf numFmtId="0" fontId="25" fillId="36" borderId="16" xfId="0" applyFont="1" applyFill="1" applyBorder="1"/>
    <xf numFmtId="0" fontId="25" fillId="36" borderId="10" xfId="0" applyFont="1" applyFill="1" applyBorder="1"/>
    <xf numFmtId="0" fontId="29" fillId="36" borderId="11" xfId="0" applyFont="1" applyFill="1" applyBorder="1"/>
    <xf numFmtId="0" fontId="25" fillId="36" borderId="11" xfId="0" applyFont="1" applyFill="1" applyBorder="1"/>
    <xf numFmtId="0" fontId="25" fillId="36" borderId="12" xfId="0" applyFont="1" applyFill="1" applyBorder="1"/>
    <xf numFmtId="0" fontId="39" fillId="36" borderId="33" xfId="0" applyFont="1" applyFill="1" applyBorder="1"/>
    <xf numFmtId="0" fontId="45" fillId="36" borderId="0" xfId="0" applyFont="1" applyFill="1"/>
    <xf numFmtId="0" fontId="39" fillId="36" borderId="0" xfId="0" applyFont="1" applyFill="1"/>
    <xf numFmtId="0" fontId="25" fillId="36" borderId="0" xfId="0" applyFont="1" applyFill="1" applyAlignment="1">
      <alignment horizontal="right"/>
    </xf>
    <xf numFmtId="0" fontId="25" fillId="35" borderId="10" xfId="0" applyFont="1" applyFill="1" applyBorder="1"/>
    <xf numFmtId="0" fontId="51" fillId="0" borderId="0" xfId="0" applyFont="1"/>
    <xf numFmtId="0" fontId="51" fillId="34" borderId="0" xfId="0" applyFont="1" applyFill="1"/>
    <xf numFmtId="164" fontId="51" fillId="34" borderId="0" xfId="0" applyNumberFormat="1" applyFont="1" applyFill="1"/>
    <xf numFmtId="0" fontId="30" fillId="0" borderId="0" xfId="44" applyAlignment="1">
      <alignment horizontal="right" vertical="center" wrapText="1" indent="1"/>
    </xf>
    <xf numFmtId="0" fontId="52" fillId="0" borderId="0" xfId="0" applyFont="1" applyAlignment="1">
      <alignment horizontal="left" vertical="center" wrapText="1" indent="1"/>
    </xf>
    <xf numFmtId="2" fontId="52" fillId="0" borderId="0" xfId="0" applyNumberFormat="1" applyFont="1" applyAlignment="1">
      <alignment horizontal="right" vertical="center" wrapText="1" indent="1"/>
    </xf>
    <xf numFmtId="0" fontId="1" fillId="0" borderId="0" xfId="0" applyFont="1"/>
    <xf numFmtId="1" fontId="0" fillId="0" borderId="0" xfId="0" applyNumberFormat="1"/>
    <xf numFmtId="165" fontId="25" fillId="0" borderId="31" xfId="0" applyNumberFormat="1" applyFont="1" applyBorder="1" applyAlignment="1">
      <alignment horizontal="right"/>
    </xf>
    <xf numFmtId="1" fontId="25" fillId="2" borderId="0" xfId="0" applyNumberFormat="1" applyFont="1" applyFill="1" applyProtection="1">
      <protection locked="0"/>
    </xf>
    <xf numFmtId="0" fontId="25" fillId="2" borderId="0" xfId="0" applyFont="1" applyFill="1" applyAlignment="1">
      <alignment horizontal="right"/>
    </xf>
    <xf numFmtId="1" fontId="39" fillId="2" borderId="0" xfId="0" applyNumberFormat="1" applyFont="1" applyFill="1"/>
    <xf numFmtId="0" fontId="15" fillId="2" borderId="23" xfId="0" applyFont="1" applyFill="1" applyBorder="1"/>
    <xf numFmtId="0" fontId="15" fillId="2" borderId="24" xfId="0" applyFont="1" applyFill="1" applyBorder="1"/>
    <xf numFmtId="0" fontId="15" fillId="2" borderId="25" xfId="0" applyFont="1" applyFill="1" applyBorder="1"/>
    <xf numFmtId="0" fontId="15" fillId="2" borderId="26" xfId="0" applyFont="1" applyFill="1" applyBorder="1"/>
    <xf numFmtId="0" fontId="15" fillId="2" borderId="0" xfId="0" applyFont="1" applyFill="1"/>
    <xf numFmtId="0" fontId="15" fillId="2" borderId="27" xfId="0" applyFont="1" applyFill="1" applyBorder="1"/>
    <xf numFmtId="0" fontId="15" fillId="2" borderId="28" xfId="0" applyFont="1" applyFill="1" applyBorder="1"/>
    <xf numFmtId="0" fontId="15" fillId="2" borderId="19" xfId="0" applyFont="1" applyFill="1" applyBorder="1"/>
    <xf numFmtId="0" fontId="15" fillId="2" borderId="29" xfId="0" applyFont="1" applyFill="1" applyBorder="1"/>
    <xf numFmtId="1" fontId="17" fillId="2" borderId="0" xfId="0" applyNumberFormat="1" applyFont="1" applyFill="1" applyProtection="1">
      <protection locked="0"/>
    </xf>
    <xf numFmtId="1" fontId="17" fillId="2" borderId="0" xfId="0" applyNumberFormat="1" applyFont="1" applyFill="1"/>
    <xf numFmtId="2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23" fillId="35" borderId="23" xfId="0" applyFont="1" applyFill="1" applyBorder="1" applyAlignment="1">
      <alignment horizontal="left" indent="1"/>
    </xf>
    <xf numFmtId="0" fontId="0" fillId="35" borderId="24" xfId="0" applyFill="1" applyBorder="1"/>
    <xf numFmtId="0" fontId="0" fillId="35" borderId="25" xfId="0" applyFill="1" applyBorder="1"/>
    <xf numFmtId="0" fontId="34" fillId="35" borderId="26" xfId="0" applyFont="1" applyFill="1" applyBorder="1" applyAlignment="1">
      <alignment horizontal="left" indent="1"/>
    </xf>
    <xf numFmtId="0" fontId="0" fillId="35" borderId="0" xfId="0" applyFill="1"/>
    <xf numFmtId="0" fontId="34" fillId="35" borderId="27" xfId="0" applyFont="1" applyFill="1" applyBorder="1" applyAlignment="1">
      <alignment horizontal="center"/>
    </xf>
    <xf numFmtId="0" fontId="34" fillId="35" borderId="28" xfId="0" applyFont="1" applyFill="1" applyBorder="1" applyAlignment="1">
      <alignment horizontal="left" indent="1"/>
    </xf>
    <xf numFmtId="0" fontId="0" fillId="35" borderId="19" xfId="0" applyFill="1" applyBorder="1"/>
    <xf numFmtId="0" fontId="34" fillId="35" borderId="29" xfId="0" applyFont="1" applyFill="1" applyBorder="1" applyAlignment="1">
      <alignment horizontal="center"/>
    </xf>
    <xf numFmtId="0" fontId="34" fillId="35" borderId="0" xfId="0" applyFont="1" applyFill="1"/>
    <xf numFmtId="0" fontId="54" fillId="2" borderId="0" xfId="0" applyFont="1" applyFill="1"/>
    <xf numFmtId="0" fontId="17" fillId="2" borderId="0" xfId="0" quotePrefix="1" applyFont="1" applyFill="1"/>
    <xf numFmtId="0" fontId="17" fillId="2" borderId="24" xfId="0" applyFont="1" applyFill="1" applyBorder="1"/>
    <xf numFmtId="0" fontId="17" fillId="2" borderId="19" xfId="0" applyFont="1" applyFill="1" applyBorder="1"/>
    <xf numFmtId="0" fontId="55" fillId="2" borderId="0" xfId="0" applyFont="1" applyFill="1"/>
    <xf numFmtId="0" fontId="56" fillId="2" borderId="0" xfId="0" applyFont="1" applyFill="1"/>
    <xf numFmtId="1" fontId="15" fillId="2" borderId="0" xfId="0" applyNumberFormat="1" applyFont="1" applyFill="1"/>
    <xf numFmtId="0" fontId="34" fillId="2" borderId="22" xfId="0" applyFont="1" applyFill="1" applyBorder="1"/>
    <xf numFmtId="0" fontId="34" fillId="2" borderId="31" xfId="0" applyFont="1" applyFill="1" applyBorder="1"/>
    <xf numFmtId="0" fontId="25" fillId="0" borderId="20" xfId="0" applyFont="1" applyBorder="1" applyAlignment="1" applyProtection="1">
      <alignment horizontal="center"/>
      <protection locked="0"/>
    </xf>
    <xf numFmtId="0" fontId="25" fillId="0" borderId="21" xfId="0" applyFont="1" applyBorder="1" applyAlignment="1" applyProtection="1">
      <alignment horizontal="center"/>
      <protection locked="0"/>
    </xf>
    <xf numFmtId="0" fontId="25" fillId="0" borderId="22" xfId="0" applyFont="1" applyBorder="1" applyAlignment="1" applyProtection="1">
      <alignment horizontal="center"/>
      <protection locked="0"/>
    </xf>
    <xf numFmtId="14" fontId="25" fillId="0" borderId="20" xfId="0" applyNumberFormat="1" applyFont="1" applyBorder="1" applyAlignment="1" applyProtection="1">
      <alignment horizontal="center"/>
      <protection locked="0"/>
    </xf>
    <xf numFmtId="14" fontId="25" fillId="0" borderId="21" xfId="0" applyNumberFormat="1" applyFont="1" applyBorder="1" applyAlignment="1" applyProtection="1">
      <alignment horizontal="center"/>
      <protection locked="0"/>
    </xf>
    <xf numFmtId="14" fontId="25" fillId="0" borderId="22" xfId="0" applyNumberFormat="1" applyFont="1" applyBorder="1" applyAlignment="1" applyProtection="1">
      <alignment horizontal="center"/>
      <protection locked="0"/>
    </xf>
    <xf numFmtId="0" fontId="24" fillId="2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7" fillId="37" borderId="20" xfId="44" applyFont="1" applyFill="1" applyBorder="1" applyAlignment="1" applyProtection="1">
      <alignment horizontal="center" vertical="center" wrapText="1"/>
      <protection locked="0"/>
    </xf>
    <xf numFmtId="0" fontId="17" fillId="37" borderId="21" xfId="44" applyFont="1" applyFill="1" applyBorder="1" applyAlignment="1" applyProtection="1">
      <alignment horizontal="center" vertical="center" wrapText="1"/>
      <protection locked="0"/>
    </xf>
    <xf numFmtId="0" fontId="17" fillId="37" borderId="22" xfId="44" applyFont="1" applyFill="1" applyBorder="1" applyAlignment="1" applyProtection="1">
      <alignment horizontal="center" vertical="center" wrapText="1"/>
      <protection locked="0"/>
    </xf>
  </cellXfs>
  <cellStyles count="8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4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_Sheet1" xfId="81" xr:uid="{00000000-0005-0000-0000-000023000000}"/>
    <cellStyle name="Notitie" xfId="15" builtinId="10" customBuiltin="1"/>
    <cellStyle name="Ongeldig" xfId="7" builtinId="27" customBuiltin="1"/>
    <cellStyle name="SAPBorder" xfId="63" xr:uid="{00000000-0005-0000-0000-000026000000}"/>
    <cellStyle name="SAPDataCell" xfId="46" xr:uid="{00000000-0005-0000-0000-000027000000}"/>
    <cellStyle name="SAPDataTotalCell" xfId="47" xr:uid="{00000000-0005-0000-0000-000028000000}"/>
    <cellStyle name="SAPDimensionCell" xfId="45" xr:uid="{00000000-0005-0000-0000-000029000000}"/>
    <cellStyle name="SAPEditableDataCell" xfId="48" xr:uid="{00000000-0005-0000-0000-00002A000000}"/>
    <cellStyle name="SAPEditableDataTotalCell" xfId="51" xr:uid="{00000000-0005-0000-0000-00002B000000}"/>
    <cellStyle name="SAPEmphasized" xfId="71" xr:uid="{00000000-0005-0000-0000-00002C000000}"/>
    <cellStyle name="SAPEmphasizedEditableDataCell" xfId="73" xr:uid="{00000000-0005-0000-0000-00002D000000}"/>
    <cellStyle name="SAPEmphasizedEditableDataTotalCell" xfId="74" xr:uid="{00000000-0005-0000-0000-00002E000000}"/>
    <cellStyle name="SAPEmphasizedLockedDataCell" xfId="77" xr:uid="{00000000-0005-0000-0000-00002F000000}"/>
    <cellStyle name="SAPEmphasizedLockedDataTotalCell" xfId="78" xr:uid="{00000000-0005-0000-0000-000030000000}"/>
    <cellStyle name="SAPEmphasizedReadonlyDataCell" xfId="75" xr:uid="{00000000-0005-0000-0000-000031000000}"/>
    <cellStyle name="SAPEmphasizedReadonlyDataTotalCell" xfId="76" xr:uid="{00000000-0005-0000-0000-000032000000}"/>
    <cellStyle name="SAPEmphasizedTotal" xfId="72" xr:uid="{00000000-0005-0000-0000-000033000000}"/>
    <cellStyle name="SAPExceptionLevel1" xfId="54" xr:uid="{00000000-0005-0000-0000-000034000000}"/>
    <cellStyle name="SAPExceptionLevel2" xfId="55" xr:uid="{00000000-0005-0000-0000-000035000000}"/>
    <cellStyle name="SAPExceptionLevel3" xfId="56" xr:uid="{00000000-0005-0000-0000-000036000000}"/>
    <cellStyle name="SAPExceptionLevel4" xfId="57" xr:uid="{00000000-0005-0000-0000-000037000000}"/>
    <cellStyle name="SAPExceptionLevel5" xfId="58" xr:uid="{00000000-0005-0000-0000-000038000000}"/>
    <cellStyle name="SAPExceptionLevel6" xfId="59" xr:uid="{00000000-0005-0000-0000-000039000000}"/>
    <cellStyle name="SAPExceptionLevel7" xfId="60" xr:uid="{00000000-0005-0000-0000-00003A000000}"/>
    <cellStyle name="SAPExceptionLevel8" xfId="61" xr:uid="{00000000-0005-0000-0000-00003B000000}"/>
    <cellStyle name="SAPExceptionLevel9" xfId="62" xr:uid="{00000000-0005-0000-0000-00003C000000}"/>
    <cellStyle name="SAPFormula" xfId="80" xr:uid="{00000000-0005-0000-0000-00003D000000}"/>
    <cellStyle name="SAPHierarchyCell0" xfId="66" xr:uid="{00000000-0005-0000-0000-00003E000000}"/>
    <cellStyle name="SAPHierarchyCell1" xfId="67" xr:uid="{00000000-0005-0000-0000-00003F000000}"/>
    <cellStyle name="SAPHierarchyCell2" xfId="68" xr:uid="{00000000-0005-0000-0000-000040000000}"/>
    <cellStyle name="SAPHierarchyCell3" xfId="69" xr:uid="{00000000-0005-0000-0000-000041000000}"/>
    <cellStyle name="SAPHierarchyCell4" xfId="70" xr:uid="{00000000-0005-0000-0000-000042000000}"/>
    <cellStyle name="SAPLockedDataCell" xfId="50" xr:uid="{00000000-0005-0000-0000-000043000000}"/>
    <cellStyle name="SAPLockedDataTotalCell" xfId="53" xr:uid="{00000000-0005-0000-0000-000044000000}"/>
    <cellStyle name="SAPMemberCell" xfId="64" xr:uid="{00000000-0005-0000-0000-000045000000}"/>
    <cellStyle name="SAPMemberTotalCell" xfId="65" xr:uid="{00000000-0005-0000-0000-000046000000}"/>
    <cellStyle name="SAPMessageText" xfId="79" xr:uid="{00000000-0005-0000-0000-000047000000}"/>
    <cellStyle name="SAPReadonlyDataCell" xfId="49" xr:uid="{00000000-0005-0000-0000-000048000000}"/>
    <cellStyle name="SAPReadonlyDataTotalCell" xfId="52" xr:uid="{00000000-0005-0000-0000-000049000000}"/>
    <cellStyle name="Standaard" xfId="0" builtinId="0"/>
    <cellStyle name="Standaard 2" xfId="42" xr:uid="{00000000-0005-0000-0000-00004B000000}"/>
    <cellStyle name="Standaard 3" xfId="43" xr:uid="{00000000-0005-0000-0000-00004C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000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6009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62600" y="3267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626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2" displayName="Tabel12" ref="A1:G285" totalsRowShown="0" headerRowDxfId="30" dataDxfId="28" headerRowBorderDxfId="29" tableBorderDxfId="27" totalsRowBorderDxfId="26">
  <autoFilter ref="A1:G285" xr:uid="{00000000-0009-0000-0100-000001000000}"/>
  <tableColumns count="7">
    <tableColumn id="1" xr3:uid="{00000000-0010-0000-0000-000001000000}" name="Postcode" dataDxfId="25"/>
    <tableColumn id="7" xr3:uid="{00000000-0010-0000-0000-000007000000}" name="Gemeente" dataDxfId="24"/>
    <tableColumn id="6" xr3:uid="{00000000-0010-0000-0000-000006000000}" name="Hoofdgemeente" dataDxfId="23"/>
    <tableColumn id="3" xr3:uid="{00000000-0010-0000-0000-000003000000}" name="Basistarief HH" dataDxfId="22"/>
    <tableColumn id="4" xr3:uid="{00000000-0010-0000-0000-000004000000}" name="Comfortarief HH" dataDxfId="21"/>
    <tableColumn id="2" xr3:uid="{00000000-0010-0000-0000-000002000000}" name="Vlaktarief NHH" dataDxfId="20"/>
    <tableColumn id="5" xr3:uid="{00000000-0010-0000-0000-000005000000}" name="Meerverbruik NHH" dataDxfId="1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14" displayName="Tabel14" ref="A1:D285" totalsRowShown="0" headerRowDxfId="18" dataDxfId="16" headerRowBorderDxfId="17" tableBorderDxfId="15" totalsRowBorderDxfId="14">
  <autoFilter ref="A1:D285" xr:uid="{00000000-0009-0000-0100-000003000000}"/>
  <tableColumns count="4">
    <tableColumn id="1" xr3:uid="{00000000-0010-0000-0100-000001000000}" name="Postcode" dataDxfId="13"/>
    <tableColumn id="7" xr3:uid="{00000000-0010-0000-0100-000007000000}" name="Gemeente" dataDxfId="12"/>
    <tableColumn id="6" xr3:uid="{00000000-0010-0000-0100-000006000000}" name="Hoofdgemeente" dataDxfId="11"/>
    <tableColumn id="3" xr3:uid="{00000000-0010-0000-0100-000003000000}" name="Vlak tarief" dataDxfId="1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1" displayName="Tabel1" ref="A1:E285" totalsRowShown="0" headerRowDxfId="9" dataDxfId="7" headerRowBorderDxfId="8" tableBorderDxfId="6" totalsRowBorderDxfId="5">
  <autoFilter ref="A1:E285" xr:uid="{00000000-0009-0000-0100-000002000000}"/>
  <sortState xmlns:xlrd2="http://schemas.microsoft.com/office/spreadsheetml/2017/richdata2" ref="A2:E285">
    <sortCondition ref="C1:C285"/>
  </sortState>
  <tableColumns count="5">
    <tableColumn id="1" xr3:uid="{00000000-0010-0000-0200-000001000000}" name="Postcode" dataDxfId="4"/>
    <tableColumn id="7" xr3:uid="{00000000-0010-0000-0200-000007000000}" name="Gemeente" dataDxfId="3"/>
    <tableColumn id="6" xr3:uid="{00000000-0010-0000-0200-000006000000}" name="Hoofdgemeente" dataDxfId="2"/>
    <tableColumn id="3" xr3:uid="{00000000-0010-0000-0200-000003000000}" name="Basistarief" dataDxfId="1"/>
    <tableColumn id="4" xr3:uid="{00000000-0010-0000-0200-000004000000}" name="Comfortarief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0"/>
  </sheetPr>
  <dimension ref="B1:X40"/>
  <sheetViews>
    <sheetView tabSelected="1" zoomScaleNormal="100" workbookViewId="0">
      <selection activeCell="C8" sqref="C8:F8"/>
    </sheetView>
  </sheetViews>
  <sheetFormatPr defaultColWidth="9.140625" defaultRowHeight="15"/>
  <cols>
    <col min="1" max="1" width="2.140625" style="7" customWidth="1"/>
    <col min="2" max="2" width="2.7109375" style="7" customWidth="1"/>
    <col min="3" max="3" width="30.42578125" style="7" customWidth="1"/>
    <col min="4" max="4" width="10.5703125" style="7" customWidth="1"/>
    <col min="5" max="5" width="1.85546875" style="7" customWidth="1"/>
    <col min="6" max="6" width="7" style="7" customWidth="1"/>
    <col min="7" max="7" width="3.7109375" style="7" bestFit="1" customWidth="1"/>
    <col min="8" max="8" width="9" style="40" customWidth="1"/>
    <col min="9" max="9" width="12.140625" style="155" customWidth="1"/>
    <col min="10" max="10" width="2.7109375" style="7" customWidth="1"/>
    <col min="11" max="11" width="32" style="7" customWidth="1"/>
    <col min="12" max="12" width="14.42578125" style="7" customWidth="1"/>
    <col min="13" max="13" width="11.140625" style="7" customWidth="1"/>
    <col min="14" max="14" width="11.5703125" style="7" customWidth="1"/>
    <col min="15" max="15" width="9.140625" style="155"/>
    <col min="16" max="16" width="16.28515625" style="40" bestFit="1" customWidth="1"/>
    <col min="17" max="18" width="9.140625" style="40"/>
    <col min="19" max="19" width="9.85546875" style="40" bestFit="1" customWidth="1"/>
    <col min="20" max="20" width="9.140625" style="40"/>
    <col min="21" max="24" width="9.140625" style="155"/>
    <col min="25" max="16384" width="9.140625" style="7"/>
  </cols>
  <sheetData>
    <row r="1" spans="2:24" ht="4.5" customHeight="1"/>
    <row r="2" spans="2:24" ht="4.5" customHeight="1"/>
    <row r="3" spans="2:24" s="8" customFormat="1" ht="23.25">
      <c r="C3" s="8" t="s">
        <v>388</v>
      </c>
      <c r="H3" s="175"/>
      <c r="I3" s="179"/>
      <c r="O3" s="179"/>
      <c r="P3" s="175"/>
      <c r="Q3" s="175"/>
      <c r="R3" s="175"/>
      <c r="S3" s="175"/>
      <c r="T3" s="175"/>
      <c r="U3" s="179"/>
      <c r="V3" s="179"/>
      <c r="W3" s="179"/>
      <c r="X3" s="179"/>
    </row>
    <row r="4" spans="2:24" s="62" customFormat="1" ht="21">
      <c r="C4" s="63"/>
      <c r="D4" s="62" t="s">
        <v>357</v>
      </c>
      <c r="H4" s="37"/>
      <c r="I4" s="180"/>
      <c r="K4" s="65" t="s">
        <v>358</v>
      </c>
      <c r="O4" s="180"/>
      <c r="P4" s="37"/>
      <c r="Q4" s="37"/>
      <c r="R4" s="37"/>
      <c r="S4" s="37"/>
      <c r="T4" s="37"/>
      <c r="U4" s="180"/>
      <c r="V4" s="180"/>
      <c r="W4" s="180"/>
      <c r="X4" s="180"/>
    </row>
    <row r="5" spans="2:24" s="62" customFormat="1" ht="8.25" customHeight="1" thickBot="1">
      <c r="H5" s="37"/>
      <c r="I5" s="180"/>
      <c r="O5" s="180"/>
      <c r="P5" s="37"/>
      <c r="Q5" s="37"/>
      <c r="R5" s="37"/>
      <c r="S5" s="37"/>
      <c r="T5" s="37"/>
      <c r="U5" s="180"/>
      <c r="V5" s="180"/>
      <c r="W5" s="180"/>
      <c r="X5" s="180"/>
    </row>
    <row r="6" spans="2:24" s="62" customFormat="1" ht="18.75">
      <c r="B6" s="99"/>
      <c r="C6" s="100" t="s">
        <v>12</v>
      </c>
      <c r="D6" s="101"/>
      <c r="E6" s="101"/>
      <c r="F6" s="101"/>
      <c r="G6" s="102"/>
      <c r="H6" s="37"/>
      <c r="I6" s="180"/>
      <c r="J6" s="127"/>
      <c r="K6" s="119"/>
      <c r="L6" s="119"/>
      <c r="M6" s="120"/>
      <c r="O6" s="180"/>
      <c r="P6" s="37"/>
      <c r="Q6" s="37"/>
      <c r="R6" s="37"/>
      <c r="S6" s="37"/>
      <c r="T6" s="37"/>
      <c r="U6" s="180"/>
      <c r="V6" s="180"/>
      <c r="W6" s="180"/>
      <c r="X6" s="180"/>
    </row>
    <row r="7" spans="2:24" ht="15" customHeight="1">
      <c r="B7" s="103"/>
      <c r="C7" s="104" t="s">
        <v>341</v>
      </c>
      <c r="D7" s="105"/>
      <c r="E7" s="105"/>
      <c r="F7" s="105"/>
      <c r="G7" s="106"/>
      <c r="J7" s="128"/>
      <c r="K7" s="121" t="s">
        <v>344</v>
      </c>
      <c r="L7" s="92">
        <f>I23</f>
        <v>31</v>
      </c>
      <c r="M7" s="122" t="s">
        <v>9</v>
      </c>
    </row>
    <row r="8" spans="2:24" ht="15" customHeight="1">
      <c r="B8" s="103"/>
      <c r="C8" s="184">
        <v>9000</v>
      </c>
      <c r="D8" s="185"/>
      <c r="E8" s="185"/>
      <c r="F8" s="186"/>
      <c r="G8" s="106"/>
      <c r="J8" s="128"/>
      <c r="K8" s="121"/>
      <c r="L8" s="123"/>
      <c r="M8" s="122"/>
      <c r="P8" s="162"/>
    </row>
    <row r="9" spans="2:24" ht="15" customHeight="1">
      <c r="B9" s="103"/>
      <c r="C9" s="107" t="s">
        <v>376</v>
      </c>
      <c r="D9" s="105"/>
      <c r="E9" s="105"/>
      <c r="F9" s="108"/>
      <c r="G9" s="106"/>
      <c r="J9" s="128"/>
      <c r="K9" s="121" t="s">
        <v>343</v>
      </c>
      <c r="L9" s="92">
        <f>D32</f>
        <v>0</v>
      </c>
      <c r="M9" s="122" t="s">
        <v>0</v>
      </c>
    </row>
    <row r="10" spans="2:24">
      <c r="B10" s="103"/>
      <c r="C10" s="184">
        <v>0</v>
      </c>
      <c r="D10" s="185"/>
      <c r="E10" s="185"/>
      <c r="F10" s="186"/>
      <c r="G10" s="106"/>
      <c r="J10" s="128"/>
      <c r="K10" s="124" t="str">
        <f>IF(C10=0,"Vul het aantal wooneenheden in voor een correcte simulatie","")</f>
        <v>Vul het aantal wooneenheden in voor een correcte simulatie</v>
      </c>
      <c r="L10" s="123"/>
      <c r="M10" s="122"/>
    </row>
    <row r="11" spans="2:24">
      <c r="B11" s="103"/>
      <c r="C11" s="104" t="s">
        <v>25</v>
      </c>
      <c r="D11" s="105"/>
      <c r="E11" s="105"/>
      <c r="F11" s="108"/>
      <c r="G11" s="106"/>
      <c r="J11" s="128"/>
      <c r="K11" s="121" t="s">
        <v>359</v>
      </c>
      <c r="L11" s="93">
        <f>(L9/L7)*365</f>
        <v>0</v>
      </c>
      <c r="M11" s="122" t="s">
        <v>0</v>
      </c>
    </row>
    <row r="12" spans="2:24">
      <c r="B12" s="103"/>
      <c r="C12" s="184">
        <v>0</v>
      </c>
      <c r="D12" s="185"/>
      <c r="E12" s="185"/>
      <c r="F12" s="186"/>
      <c r="G12" s="106"/>
      <c r="J12" s="128"/>
      <c r="K12" s="121"/>
      <c r="L12" s="123"/>
      <c r="M12" s="122"/>
    </row>
    <row r="13" spans="2:24">
      <c r="B13" s="103"/>
      <c r="C13" s="104" t="s">
        <v>345</v>
      </c>
      <c r="D13" s="105"/>
      <c r="E13" s="105"/>
      <c r="F13" s="108"/>
      <c r="G13" s="106"/>
      <c r="J13" s="128"/>
      <c r="K13" s="121" t="s">
        <v>360</v>
      </c>
      <c r="L13" s="93">
        <f>IF(C12=0,0,L11/C12)</f>
        <v>0</v>
      </c>
      <c r="M13" s="122" t="s">
        <v>0</v>
      </c>
    </row>
    <row r="14" spans="2:24" ht="15" customHeight="1" thickBot="1">
      <c r="B14" s="103"/>
      <c r="C14" s="184" t="s">
        <v>40</v>
      </c>
      <c r="D14" s="185"/>
      <c r="E14" s="185"/>
      <c r="F14" s="186"/>
      <c r="G14" s="106"/>
      <c r="J14" s="129"/>
      <c r="K14" s="125" t="str">
        <f>IF(C14="j",IF(C12=0,"Sociaal tarief is niet mogelijk zonder gedomicilieerden. Vul hierboven het aantal gedomicilieerden in.",""),"")</f>
        <v/>
      </c>
      <c r="L14" s="125"/>
      <c r="M14" s="126"/>
      <c r="P14" s="40" t="str">
        <f>C18</f>
        <v>Driemaandelijks</v>
      </c>
    </row>
    <row r="15" spans="2:24" ht="15" customHeight="1">
      <c r="B15" s="103"/>
      <c r="C15" s="104" t="s">
        <v>378</v>
      </c>
      <c r="D15" s="105"/>
      <c r="E15" s="105"/>
      <c r="F15" s="108"/>
      <c r="G15" s="106"/>
    </row>
    <row r="16" spans="2:24" ht="15" customHeight="1">
      <c r="B16" s="103"/>
      <c r="C16" s="184"/>
      <c r="D16" s="185"/>
      <c r="E16" s="185"/>
      <c r="F16" s="186"/>
      <c r="G16" s="106"/>
    </row>
    <row r="17" spans="2:21" ht="15" customHeight="1">
      <c r="B17" s="103"/>
      <c r="C17" s="107" t="s">
        <v>351</v>
      </c>
      <c r="D17" s="105"/>
      <c r="E17" s="105"/>
      <c r="F17" s="105"/>
      <c r="G17" s="106"/>
      <c r="P17" s="161">
        <f>(Huishoudelijk!N32*365/L7)/4</f>
        <v>0</v>
      </c>
    </row>
    <row r="18" spans="2:21" ht="15" customHeight="1">
      <c r="B18" s="103"/>
      <c r="C18" s="184" t="s">
        <v>354</v>
      </c>
      <c r="D18" s="185"/>
      <c r="E18" s="185"/>
      <c r="F18" s="186"/>
      <c r="G18" s="106"/>
    </row>
    <row r="19" spans="2:21" ht="15" customHeight="1" thickBot="1">
      <c r="B19" s="109"/>
      <c r="C19" s="110"/>
      <c r="D19" s="110"/>
      <c r="E19" s="110"/>
      <c r="F19" s="110"/>
      <c r="G19" s="111"/>
    </row>
    <row r="20" spans="2:21" ht="15" customHeight="1" thickBot="1">
      <c r="C20" s="64"/>
      <c r="D20" s="64"/>
      <c r="E20" s="64"/>
      <c r="F20" s="64"/>
    </row>
    <row r="21" spans="2:21" ht="18.75">
      <c r="B21" s="138"/>
      <c r="C21" s="112" t="s">
        <v>348</v>
      </c>
      <c r="D21" s="113"/>
      <c r="E21" s="114"/>
      <c r="F21" s="114"/>
      <c r="G21" s="115"/>
      <c r="J21" s="130"/>
      <c r="K21" s="131" t="s">
        <v>349</v>
      </c>
      <c r="L21" s="132"/>
      <c r="M21" s="132"/>
      <c r="N21" s="133"/>
    </row>
    <row r="22" spans="2:21" ht="16.5" customHeight="1">
      <c r="B22" s="103"/>
      <c r="C22" s="107" t="s">
        <v>346</v>
      </c>
      <c r="D22" s="105"/>
      <c r="E22" s="105"/>
      <c r="F22" s="105"/>
      <c r="G22" s="106"/>
      <c r="J22" s="128"/>
      <c r="K22" s="123"/>
      <c r="L22" s="123"/>
      <c r="M22" s="123"/>
      <c r="N22" s="122"/>
    </row>
    <row r="23" spans="2:21" ht="15.75">
      <c r="B23" s="103"/>
      <c r="C23" s="187">
        <v>46023</v>
      </c>
      <c r="D23" s="188"/>
      <c r="E23" s="188"/>
      <c r="F23" s="189"/>
      <c r="G23" s="116"/>
      <c r="H23" s="176"/>
      <c r="I23" s="37">
        <f>(C25-C23)+1</f>
        <v>31</v>
      </c>
      <c r="J23" s="134"/>
      <c r="K23" s="121" t="s">
        <v>342</v>
      </c>
      <c r="L23" s="147">
        <f>P23+(P23*0.06)</f>
        <v>0</v>
      </c>
      <c r="M23" s="135" t="s">
        <v>355</v>
      </c>
      <c r="N23" s="122"/>
      <c r="P23" s="161">
        <f>IF(P14="Driemaandelijks",(Huishoudelijk!N32*365/L7)/4,IF(P14="Maandelijks ",(Huishoudelijk!N32*365/L7)/12,"0"))</f>
        <v>0</v>
      </c>
    </row>
    <row r="24" spans="2:21" ht="15.75">
      <c r="B24" s="103"/>
      <c r="C24" s="107" t="s">
        <v>347</v>
      </c>
      <c r="D24" s="117"/>
      <c r="E24" s="105"/>
      <c r="F24" s="117"/>
      <c r="G24" s="116"/>
      <c r="H24" s="176"/>
      <c r="I24" s="180"/>
      <c r="J24" s="134"/>
      <c r="K24" s="136"/>
      <c r="L24" s="137"/>
      <c r="M24" s="135"/>
      <c r="N24" s="122"/>
    </row>
    <row r="25" spans="2:21" ht="15.75">
      <c r="B25" s="103"/>
      <c r="C25" s="187">
        <v>46053</v>
      </c>
      <c r="D25" s="188"/>
      <c r="E25" s="188"/>
      <c r="F25" s="189"/>
      <c r="G25" s="116"/>
      <c r="H25" s="176"/>
      <c r="I25" s="180"/>
      <c r="J25" s="134"/>
      <c r="K25" s="121" t="s">
        <v>350</v>
      </c>
      <c r="L25" s="147">
        <f>P25+(P25*0.06)</f>
        <v>0</v>
      </c>
      <c r="M25" s="135" t="s">
        <v>355</v>
      </c>
      <c r="N25" s="122"/>
      <c r="P25" s="161">
        <f>IF(P14="Driemaandelijks",(('Niet huishoudelijk'!L28*365/L7)/4)+(SUM(S25:S32)),((('Niet huishoudelijk'!L28*365/L7)/12)+(SUM(S25:S32)/3)))</f>
        <v>0</v>
      </c>
      <c r="S25" s="162">
        <v>0</v>
      </c>
      <c r="T25" s="162"/>
      <c r="U25" s="181"/>
    </row>
    <row r="26" spans="2:21" ht="15.75" thickBot="1">
      <c r="B26" s="103"/>
      <c r="C26" s="105"/>
      <c r="D26" s="105"/>
      <c r="E26" s="105"/>
      <c r="F26" s="105"/>
      <c r="G26" s="106"/>
      <c r="J26" s="129"/>
      <c r="K26" s="125"/>
      <c r="L26" s="125"/>
      <c r="M26" s="125"/>
      <c r="N26" s="126"/>
      <c r="S26" s="162">
        <v>0</v>
      </c>
      <c r="T26" s="162"/>
      <c r="U26" s="181"/>
    </row>
    <row r="27" spans="2:21">
      <c r="B27" s="103"/>
      <c r="C27" s="107" t="s">
        <v>39</v>
      </c>
      <c r="D27" s="105"/>
      <c r="E27" s="105"/>
      <c r="F27" s="105"/>
      <c r="G27" s="106"/>
      <c r="P27" s="161"/>
      <c r="R27" s="162"/>
      <c r="S27" s="162">
        <v>0</v>
      </c>
      <c r="T27" s="162"/>
      <c r="U27" s="181"/>
    </row>
    <row r="28" spans="2:21" ht="15.75" customHeight="1">
      <c r="B28" s="103"/>
      <c r="C28" s="184">
        <v>0</v>
      </c>
      <c r="D28" s="185"/>
      <c r="E28" s="185"/>
      <c r="F28" s="186"/>
      <c r="G28" s="106" t="s">
        <v>0</v>
      </c>
      <c r="P28" s="161"/>
      <c r="S28" s="162">
        <v>0</v>
      </c>
      <c r="T28" s="162"/>
      <c r="U28" s="181"/>
    </row>
    <row r="29" spans="2:21">
      <c r="B29" s="103"/>
      <c r="C29" s="104" t="s">
        <v>14</v>
      </c>
      <c r="D29" s="118"/>
      <c r="E29" s="118"/>
      <c r="F29" s="118"/>
      <c r="G29" s="106"/>
      <c r="S29" s="162">
        <v>0</v>
      </c>
      <c r="T29" s="162"/>
      <c r="U29" s="181"/>
    </row>
    <row r="30" spans="2:21">
      <c r="B30" s="103"/>
      <c r="C30" s="184">
        <v>0</v>
      </c>
      <c r="D30" s="185"/>
      <c r="E30" s="185"/>
      <c r="F30" s="186"/>
      <c r="G30" s="106" t="s">
        <v>0</v>
      </c>
      <c r="J30" s="98"/>
      <c r="S30" s="162">
        <v>0</v>
      </c>
      <c r="T30" s="162"/>
      <c r="U30" s="181"/>
    </row>
    <row r="31" spans="2:21" ht="15.75" thickBot="1">
      <c r="B31" s="109"/>
      <c r="C31" s="110"/>
      <c r="D31" s="110"/>
      <c r="E31" s="110"/>
      <c r="F31" s="110"/>
      <c r="G31" s="111"/>
      <c r="S31" s="162">
        <v>0</v>
      </c>
      <c r="T31" s="162"/>
      <c r="U31" s="181"/>
    </row>
    <row r="32" spans="2:21" s="40" customFormat="1">
      <c r="C32" s="163" t="s">
        <v>13</v>
      </c>
      <c r="D32" s="163">
        <f>C30-C28</f>
        <v>0</v>
      </c>
      <c r="E32" s="163"/>
      <c r="F32" s="163"/>
      <c r="S32" s="162">
        <v>0</v>
      </c>
      <c r="T32" s="162"/>
      <c r="U32" s="161"/>
    </row>
    <row r="33" spans="2:21">
      <c r="C33" s="164"/>
      <c r="D33" s="164"/>
      <c r="E33" s="163"/>
      <c r="F33" s="163"/>
      <c r="U33" s="181"/>
    </row>
    <row r="34" spans="2:21" ht="15.75">
      <c r="B34" s="40"/>
      <c r="C34" s="160" t="s">
        <v>385</v>
      </c>
      <c r="E34" s="148"/>
      <c r="F34" s="149"/>
      <c r="K34" s="150"/>
      <c r="U34" s="181"/>
    </row>
    <row r="35" spans="2:21">
      <c r="B35" s="40"/>
      <c r="C35" s="40" t="s">
        <v>356</v>
      </c>
    </row>
    <row r="37" spans="2:21">
      <c r="C37" s="151" t="s">
        <v>384</v>
      </c>
      <c r="D37" s="152"/>
      <c r="E37" s="152"/>
      <c r="F37" s="152"/>
      <c r="G37" s="152"/>
      <c r="H37" s="177"/>
      <c r="I37" s="152" t="s">
        <v>382</v>
      </c>
      <c r="J37" s="152"/>
      <c r="K37" s="153"/>
    </row>
    <row r="38" spans="2:21">
      <c r="C38" s="154"/>
      <c r="D38" s="155"/>
      <c r="E38" s="155"/>
      <c r="F38" s="155"/>
      <c r="G38" s="155"/>
      <c r="I38" s="155" t="s">
        <v>386</v>
      </c>
      <c r="J38" s="155"/>
      <c r="K38" s="156"/>
    </row>
    <row r="39" spans="2:21">
      <c r="C39" s="154"/>
      <c r="D39" s="155"/>
      <c r="E39" s="155"/>
      <c r="F39" s="155"/>
      <c r="G39" s="155"/>
      <c r="I39" s="155" t="s">
        <v>383</v>
      </c>
      <c r="J39" s="155"/>
      <c r="K39" s="156"/>
    </row>
    <row r="40" spans="2:21">
      <c r="C40" s="157"/>
      <c r="D40" s="158"/>
      <c r="E40" s="158"/>
      <c r="F40" s="158"/>
      <c r="G40" s="158"/>
      <c r="H40" s="178"/>
      <c r="I40" s="158"/>
      <c r="J40" s="158"/>
      <c r="K40" s="159"/>
    </row>
  </sheetData>
  <sheetProtection algorithmName="SHA-512" hashValue="nWst69D7mgD/978MeYtitOfVghxtwdl92oGCLZnAg4+aP+mnN3cY2gwzlhuqJ7KOQEaUe5THUt+zQRMRZ2kxVQ==" saltValue="ToRmbTRv7yQRJ2uVbiPYGQ==" spinCount="100000" sheet="1" selectLockedCells="1"/>
  <mergeCells count="10">
    <mergeCell ref="C30:F30"/>
    <mergeCell ref="C23:F23"/>
    <mergeCell ref="C25:F25"/>
    <mergeCell ref="C18:F18"/>
    <mergeCell ref="C8:F8"/>
    <mergeCell ref="C10:F10"/>
    <mergeCell ref="C12:F12"/>
    <mergeCell ref="C14:F14"/>
    <mergeCell ref="C28:F28"/>
    <mergeCell ref="C16:F16"/>
  </mergeCells>
  <dataValidations count="3">
    <dataValidation type="date" allowBlank="1" showInputMessage="1" showErrorMessage="1" sqref="C25:F25 C23:F23" xr:uid="{00000000-0002-0000-0000-000000000000}">
      <formula1>37987</formula1>
      <formula2>2958465</formula2>
    </dataValidation>
    <dataValidation type="decimal" allowBlank="1" showInputMessage="1" showErrorMessage="1" sqref="C28:F28" xr:uid="{00000000-0002-0000-0000-000001000000}">
      <formula1>0</formula1>
      <formula2>999999999999999000000</formula2>
    </dataValidation>
    <dataValidation type="decimal" allowBlank="1" showInputMessage="1" showErrorMessage="1" sqref="C30:F30" xr:uid="{00000000-0002-0000-0000-000002000000}">
      <formula1>0</formula1>
      <formula2>999999999999999</formula2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Blad1!$A$2:$A$3</xm:f>
          </x14:formula1>
          <xm:sqref>C14:F14 E15</xm:sqref>
        </x14:dataValidation>
        <x14:dataValidation type="list" allowBlank="1" showInputMessage="1" showErrorMessage="1" xr:uid="{00000000-0002-0000-0000-000005000000}">
          <x14:formula1>
            <xm:f>Blad1!$E$1:$E$3</xm:f>
          </x14:formula1>
          <xm:sqref>C20:F20 C18:F18</xm:sqref>
        </x14:dataValidation>
        <x14:dataValidation type="list" allowBlank="1" showInputMessage="1" showErrorMessage="1" xr:uid="{00000000-0002-0000-0000-000006000000}">
          <x14:formula1>
            <xm:f>Blad1!$B$1:$B$111</xm:f>
          </x14:formula1>
          <xm:sqref>C8:F8</xm:sqref>
        </x14:dataValidation>
        <x14:dataValidation type="list" allowBlank="1" showInputMessage="1" showErrorMessage="1" xr:uid="{A318624E-B7B7-4DB6-ADFA-05DBD89735C6}">
          <x14:formula1>
            <xm:f>Blad1!$H$2:$H$10</xm:f>
          </x14:formula1>
          <xm:sqref>C16:F16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21"/>
  <sheetViews>
    <sheetView workbookViewId="0">
      <selection activeCell="B17" sqref="B17"/>
    </sheetView>
  </sheetViews>
  <sheetFormatPr defaultRowHeight="15"/>
  <cols>
    <col min="1" max="1" width="17.140625" customWidth="1"/>
    <col min="2" max="2" width="14.28515625" customWidth="1"/>
  </cols>
  <sheetData>
    <row r="2" spans="1:1">
      <c r="A2" t="s">
        <v>365</v>
      </c>
    </row>
    <row r="3" spans="1:1">
      <c r="A3" t="s">
        <v>366</v>
      </c>
    </row>
    <row r="5" spans="1:1">
      <c r="A5" t="str">
        <f>IF('HH of NHH'!B8="","","Ja, klant heeft een heffingsdossier bij de VMM")</f>
        <v/>
      </c>
    </row>
    <row r="6" spans="1:1">
      <c r="A6" t="str">
        <f>IF('HH of NHH'!B8="","","Nee, klant heeft geen heffingsdossier bij de VMM")</f>
        <v/>
      </c>
    </row>
    <row r="8" spans="1:1">
      <c r="A8" t="str">
        <f>IF('HH of NHH'!B10="","","Ja, er zijn meer dan 4 wooneenheden")</f>
        <v/>
      </c>
    </row>
    <row r="9" spans="1:1">
      <c r="A9" t="str">
        <f>IF('HH of NHH'!B10="","","Nee, er zijn niet meer dan 4 wooneenheden")</f>
        <v/>
      </c>
    </row>
    <row r="11" spans="1:1">
      <c r="A11" t="str">
        <f>IF('HH of NHH'!B12="","","Ja, er zijn gedomicilieerden")</f>
        <v/>
      </c>
    </row>
    <row r="12" spans="1:1">
      <c r="A12" t="str">
        <f>IF('HH of NHH'!B12="","","Nee, er zijn geen gedomicilieerden")</f>
        <v/>
      </c>
    </row>
    <row r="14" spans="1:1">
      <c r="A14" t="str">
        <f>IF('HH of NHH'!B14="","","Ja, er is meer dan één wooneenheid")</f>
        <v/>
      </c>
    </row>
    <row r="15" spans="1:1">
      <c r="A15" t="str">
        <f>IF('HH of NHH'!B14="","","Nee, er is niet meer dan één wooneenheid")</f>
        <v/>
      </c>
    </row>
    <row r="17" spans="1:1">
      <c r="A17" t="str">
        <f>IF('HH of NHH'!B16="","","Ja, klant heeft een KBO-nummer")</f>
        <v/>
      </c>
    </row>
    <row r="18" spans="1:1">
      <c r="A18" t="str">
        <f>IF('HH of NHH'!B16="","","Nee, klant heeft geen KBO-nummer")</f>
        <v/>
      </c>
    </row>
    <row r="20" spans="1:1">
      <c r="A20" t="str">
        <f>IF('HH of NHH'!B16="","","Ja, er zijn gedomicilieerden")</f>
        <v/>
      </c>
    </row>
    <row r="21" spans="1:1">
      <c r="A21" t="str">
        <f>IF('HH of NHH'!B16="","","Nee, er zijn geen gedomicilieerden")</f>
        <v/>
      </c>
    </row>
  </sheetData>
  <sheetProtection algorithmName="SHA-512" hashValue="aDKt0eY4Q8BaX//d16Bv80N6Rqvo0gD4w//sV3z0gJmrl3S9La8suPYApMbCrvX0iYGUSN+aBshdAMiQxDLPOQ==" saltValue="xz3Ok/8RYG4LLYCgbmaMUQ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4" tint="-0.249977111117893"/>
    <pageSetUpPr fitToPage="1"/>
  </sheetPr>
  <dimension ref="A1:U36"/>
  <sheetViews>
    <sheetView zoomScaleNormal="100" workbookViewId="0">
      <selection activeCell="B34" sqref="B34:D34"/>
    </sheetView>
  </sheetViews>
  <sheetFormatPr defaultColWidth="9.140625" defaultRowHeight="15"/>
  <cols>
    <col min="1" max="1" width="1.7109375" style="1" customWidth="1"/>
    <col min="2" max="2" width="8" style="1" customWidth="1"/>
    <col min="3" max="3" width="26.5703125" style="1" customWidth="1"/>
    <col min="4" max="4" width="6.28515625" style="1" customWidth="1"/>
    <col min="5" max="5" width="12.5703125" style="1" customWidth="1"/>
    <col min="6" max="6" width="1.85546875" style="1" customWidth="1"/>
    <col min="7" max="7" width="4.5703125" style="1" customWidth="1"/>
    <col min="8" max="8" width="8.28515625" style="1" customWidth="1"/>
    <col min="9" max="9" width="6.7109375" style="1" customWidth="1"/>
    <col min="10" max="10" width="16.42578125" style="1" customWidth="1"/>
    <col min="11" max="11" width="3.28515625" style="1" customWidth="1"/>
    <col min="12" max="12" width="10" style="1" customWidth="1"/>
    <col min="13" max="13" width="5" style="1" customWidth="1"/>
    <col min="14" max="14" width="13.28515625" style="1" customWidth="1"/>
    <col min="15" max="15" width="3.140625" style="1" customWidth="1"/>
    <col min="16" max="16" width="4" style="1" customWidth="1"/>
    <col min="17" max="17" width="8.140625" style="1" customWidth="1"/>
    <col min="18" max="20" width="9.140625" style="1"/>
    <col min="21" max="21" width="20.28515625" style="1" customWidth="1"/>
    <col min="22" max="16384" width="9.140625" style="1"/>
  </cols>
  <sheetData>
    <row r="1" spans="1:21" ht="17.25" customHeight="1" thickBot="1"/>
    <row r="2" spans="1:21" ht="15" customHeight="1">
      <c r="B2" s="190" t="s">
        <v>35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38"/>
      <c r="R2" s="165" t="s">
        <v>28</v>
      </c>
      <c r="S2" s="166"/>
      <c r="T2" s="166"/>
      <c r="U2" s="167"/>
    </row>
    <row r="3" spans="1:21" ht="15" customHeight="1" thickBot="1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38"/>
      <c r="R3" s="168" t="s">
        <v>43</v>
      </c>
      <c r="S3" s="169"/>
      <c r="T3" s="169"/>
      <c r="U3" s="170" t="str">
        <f>VLOOKUP('Berekening verbruik'!C8,'PRIJS GB HH'!A:C,3,0)</f>
        <v>Gent</v>
      </c>
    </row>
    <row r="4" spans="1:21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R4" s="168" t="s">
        <v>24</v>
      </c>
      <c r="S4" s="169"/>
      <c r="T4" s="169"/>
      <c r="U4" s="170">
        <f>'Berekening verbruik'!C10</f>
        <v>0</v>
      </c>
    </row>
    <row r="5" spans="1:21" ht="15" customHeight="1">
      <c r="B5" s="10" t="s">
        <v>1</v>
      </c>
      <c r="J5" s="11"/>
      <c r="K5" s="12" t="s">
        <v>4</v>
      </c>
      <c r="L5" s="11"/>
      <c r="M5" s="12" t="s">
        <v>5</v>
      </c>
      <c r="N5" s="12" t="s">
        <v>6</v>
      </c>
      <c r="P5" s="4" t="s">
        <v>340</v>
      </c>
      <c r="R5" s="168" t="s">
        <v>25</v>
      </c>
      <c r="S5" s="169"/>
      <c r="T5" s="169"/>
      <c r="U5" s="170">
        <f>'Berekening verbruik'!C12</f>
        <v>0</v>
      </c>
    </row>
    <row r="6" spans="1:21">
      <c r="B6" s="13" t="s">
        <v>33</v>
      </c>
      <c r="C6" s="14"/>
      <c r="D6" s="14"/>
      <c r="E6" s="14"/>
      <c r="J6" s="1">
        <f>'Berekening verbruik'!I23</f>
        <v>31</v>
      </c>
      <c r="K6" s="1" t="s">
        <v>9</v>
      </c>
      <c r="L6" s="1">
        <v>50</v>
      </c>
      <c r="M6" s="1" t="s">
        <v>7</v>
      </c>
      <c r="N6" s="3">
        <f>L6*(J6/365)*'Berekening verbruik'!C10</f>
        <v>0</v>
      </c>
      <c r="O6" s="9" t="s">
        <v>2</v>
      </c>
      <c r="P6" s="61">
        <v>0.06</v>
      </c>
      <c r="R6" s="168" t="s">
        <v>26</v>
      </c>
      <c r="S6" s="169"/>
      <c r="T6" s="169"/>
      <c r="U6" s="170" t="str">
        <f>IF('Berekening verbruik'!C14="nee","NEE","JA")</f>
        <v>NEE</v>
      </c>
    </row>
    <row r="7" spans="1:21">
      <c r="B7" s="13" t="s">
        <v>34</v>
      </c>
      <c r="J7" s="1">
        <f>'Berekening verbruik'!I23</f>
        <v>31</v>
      </c>
      <c r="K7" s="1" t="s">
        <v>9</v>
      </c>
      <c r="L7" s="1">
        <v>10</v>
      </c>
      <c r="M7" s="1" t="s">
        <v>7</v>
      </c>
      <c r="N7" s="3">
        <f>(-IF('Berekening verbruik'!C12*L7&gt;L6*'Berekening verbruik'!C10,50*'Berekening verbruik'!C10,'Berekening verbruik'!C12*L7))*(IF('Berekening verbruik'!I23=1,'Berekening verbruik'!#REF!,('Berekening verbruik'!I23))/365)</f>
        <v>0</v>
      </c>
      <c r="O7" s="9" t="s">
        <v>2</v>
      </c>
      <c r="P7" s="61">
        <v>0.06</v>
      </c>
      <c r="R7" s="168" t="s">
        <v>27</v>
      </c>
      <c r="S7" s="169"/>
      <c r="T7" s="169"/>
      <c r="U7" s="170">
        <f>IF('Berekening verbruik'!I23=1,'Berekening verbruik'!#REF!,'Berekening verbruik'!I23)</f>
        <v>31</v>
      </c>
    </row>
    <row r="8" spans="1:21">
      <c r="B8" s="13" t="s">
        <v>380</v>
      </c>
      <c r="D8" s="1">
        <f>'Berekening verbruik'!C16</f>
        <v>0</v>
      </c>
      <c r="J8" s="1">
        <f>'Berekening verbruik'!I23</f>
        <v>31</v>
      </c>
      <c r="K8" s="1" t="s">
        <v>9</v>
      </c>
      <c r="L8" s="1">
        <f>VLOOKUP(D8,'PRIJS CAPA'!A1:B10,2,0)</f>
        <v>0</v>
      </c>
      <c r="M8" s="1" t="s">
        <v>7</v>
      </c>
      <c r="N8" s="3">
        <f>L8/365*J8</f>
        <v>0</v>
      </c>
      <c r="O8" s="9" t="s">
        <v>2</v>
      </c>
      <c r="P8" s="61">
        <v>0.06</v>
      </c>
      <c r="R8" s="168"/>
      <c r="S8" s="169"/>
      <c r="T8" s="169"/>
      <c r="U8" s="170"/>
    </row>
    <row r="9" spans="1:21">
      <c r="B9" s="13" t="s">
        <v>38</v>
      </c>
      <c r="J9" s="3">
        <f>IF('Berekening verbruik'!D32=0,IF(((((30*'Berekening verbruik'!C10)+(30*'Berekening verbruik'!C12))*('Berekening verbruik'!I23))/365)&gt;'Berekening verbruik'!D32,'Berekening verbruik'!D32,((((30*'Berekening verbruik'!C10)+(30*'Berekening verbruik'!C12))*IF('Berekening verbruik'!I23=1,'Berekening verbruik'!D32,('Berekening verbruik'!I23-1)))/365)),IF(((((30*'Berekening verbruik'!C10)+(30*'Berekening verbruik'!C12))*IF('Berekening verbruik'!I23=1,'Berekening verbruik'!D32,('Berekening verbruik'!I23)))/365)&gt;'Berekening verbruik'!D32,'Berekening verbruik'!D32,((((30*'Berekening verbruik'!C10)+(30*'Berekening verbruik'!C12))*IF('Berekening verbruik'!I23=1,'Berekening verbruik'!D32,('Berekening verbruik'!I23)))/365)))</f>
        <v>0</v>
      </c>
      <c r="K9" s="1" t="s">
        <v>0</v>
      </c>
      <c r="L9" s="1">
        <f>VLOOKUP('Berekening verbruik'!C8,'PRIJS DW'!A:D,4,0)</f>
        <v>3.0057999999999998</v>
      </c>
      <c r="M9" s="1" t="s">
        <v>8</v>
      </c>
      <c r="N9" s="3">
        <f>J9*L9</f>
        <v>0</v>
      </c>
      <c r="O9" s="9" t="s">
        <v>2</v>
      </c>
      <c r="P9" s="61">
        <v>0.06</v>
      </c>
      <c r="R9" s="171" t="s">
        <v>29</v>
      </c>
      <c r="S9" s="172"/>
      <c r="T9" s="172"/>
      <c r="U9" s="173" t="e">
        <f>IF('Berekening verbruik'!D32=0,'Berekening verbruik'!#REF!,'Berekening verbruik'!D32)</f>
        <v>#REF!</v>
      </c>
    </row>
    <row r="10" spans="1:21">
      <c r="B10" s="13" t="s">
        <v>16</v>
      </c>
      <c r="J10" s="15">
        <f>IF('Berekening verbruik'!D32=0,'Berekening verbruik'!D32-J9,'Berekening verbruik'!D32-J9)</f>
        <v>0</v>
      </c>
      <c r="K10" s="1" t="s">
        <v>0</v>
      </c>
      <c r="L10" s="1">
        <f>VLOOKUP('Berekening verbruik'!C8,'PRIJS DW'!A:E,5,0)</f>
        <v>6.0115999999999996</v>
      </c>
      <c r="M10" s="1" t="s">
        <v>8</v>
      </c>
      <c r="N10" s="3">
        <f>J10*L10</f>
        <v>0</v>
      </c>
      <c r="O10" s="9" t="s">
        <v>2</v>
      </c>
      <c r="P10" s="61">
        <v>0.06</v>
      </c>
    </row>
    <row r="11" spans="1:21" ht="6" customHeight="1">
      <c r="B11" s="13"/>
      <c r="J11" s="3"/>
      <c r="N11" s="3"/>
      <c r="O11" s="9"/>
      <c r="P11" s="9"/>
    </row>
    <row r="12" spans="1:21" ht="15.75">
      <c r="B12" s="10" t="s">
        <v>3</v>
      </c>
      <c r="J12" s="3"/>
      <c r="N12" s="16">
        <f>SUM(N6:N10)</f>
        <v>0</v>
      </c>
      <c r="O12" s="9" t="s">
        <v>2</v>
      </c>
      <c r="P12" s="9"/>
    </row>
    <row r="13" spans="1:21" ht="8.25" customHeight="1">
      <c r="A13" s="2"/>
      <c r="B13" s="17"/>
      <c r="C13" s="2"/>
      <c r="D13" s="2"/>
      <c r="E13" s="2"/>
      <c r="F13" s="2"/>
      <c r="G13" s="2"/>
      <c r="H13" s="2"/>
      <c r="I13" s="2"/>
      <c r="J13" s="18"/>
      <c r="K13" s="2"/>
      <c r="L13" s="2"/>
      <c r="M13" s="2"/>
      <c r="N13" s="18"/>
      <c r="O13" s="19"/>
      <c r="P13" s="9"/>
    </row>
    <row r="14" spans="1:21" ht="15.75">
      <c r="B14" s="10" t="s">
        <v>19</v>
      </c>
      <c r="J14" s="3"/>
      <c r="N14" s="3"/>
      <c r="O14" s="9"/>
      <c r="P14" s="9"/>
    </row>
    <row r="15" spans="1:21">
      <c r="B15" s="13" t="s">
        <v>33</v>
      </c>
      <c r="C15" s="14"/>
      <c r="D15" s="14"/>
      <c r="E15" s="14"/>
      <c r="J15" s="1">
        <f>'Berekening verbruik'!I23</f>
        <v>31</v>
      </c>
      <c r="K15" s="1" t="s">
        <v>9</v>
      </c>
      <c r="L15" s="1">
        <v>30</v>
      </c>
      <c r="M15" s="1" t="s">
        <v>7</v>
      </c>
      <c r="N15" s="3">
        <f>((L15*(J15)/365)*'Berekening verbruik'!C10)</f>
        <v>0</v>
      </c>
      <c r="O15" s="9" t="s">
        <v>2</v>
      </c>
      <c r="P15" s="61">
        <v>0.06</v>
      </c>
    </row>
    <row r="16" spans="1:21">
      <c r="B16" s="13" t="s">
        <v>34</v>
      </c>
      <c r="J16" s="1">
        <f>'Berekening verbruik'!I23</f>
        <v>31</v>
      </c>
      <c r="K16" s="1" t="s">
        <v>9</v>
      </c>
      <c r="L16" s="1">
        <v>6</v>
      </c>
      <c r="M16" s="1" t="s">
        <v>7</v>
      </c>
      <c r="N16" s="3">
        <f>(-IF('Berekening verbruik'!C12*L16&gt;L15*'Berekening verbruik'!C10,30*'Berekening verbruik'!C10,'Berekening verbruik'!C12*L16))*(IF('Berekening verbruik'!I23=1,'Berekening verbruik'!#REF!,('Berekening verbruik'!I23))/365)</f>
        <v>0</v>
      </c>
      <c r="O16" s="9" t="s">
        <v>2</v>
      </c>
      <c r="P16" s="61">
        <v>0.06</v>
      </c>
      <c r="R16" s="54"/>
    </row>
    <row r="17" spans="1:18">
      <c r="B17" s="13" t="s">
        <v>38</v>
      </c>
      <c r="J17" s="3">
        <f>J9</f>
        <v>0</v>
      </c>
      <c r="K17" s="1" t="s">
        <v>0</v>
      </c>
      <c r="L17" s="56">
        <f>VLOOKUP('Berekening verbruik'!C8,'PRIJS GB HH'!A:D,4,0)</f>
        <v>1.9572000000000001</v>
      </c>
      <c r="M17" s="1" t="s">
        <v>8</v>
      </c>
      <c r="N17" s="3">
        <f>J17*L17</f>
        <v>0</v>
      </c>
      <c r="O17" s="9" t="s">
        <v>2</v>
      </c>
      <c r="P17" s="61">
        <v>0.06</v>
      </c>
      <c r="R17" s="55"/>
    </row>
    <row r="18" spans="1:18">
      <c r="B18" s="13" t="s">
        <v>16</v>
      </c>
      <c r="J18" s="3">
        <f>J10</f>
        <v>0</v>
      </c>
      <c r="K18" s="1" t="s">
        <v>0</v>
      </c>
      <c r="L18" s="20">
        <f>VLOOKUP('Berekening verbruik'!C8,'PRIJS GB HH'!A:E,5,0)</f>
        <v>3.9144000000000001</v>
      </c>
      <c r="M18" s="1" t="s">
        <v>8</v>
      </c>
      <c r="N18" s="3">
        <f>J18*L18</f>
        <v>0</v>
      </c>
      <c r="O18" s="9" t="s">
        <v>2</v>
      </c>
      <c r="P18" s="61">
        <v>0.06</v>
      </c>
    </row>
    <row r="19" spans="1:18" ht="6" customHeight="1">
      <c r="B19" s="13"/>
      <c r="J19" s="3"/>
      <c r="N19" s="3"/>
      <c r="O19" s="9"/>
      <c r="P19" s="9"/>
    </row>
    <row r="20" spans="1:18" ht="15.75">
      <c r="B20" s="10" t="s">
        <v>20</v>
      </c>
      <c r="J20" s="3"/>
      <c r="N20" s="16">
        <f>SUM(N15:N18)</f>
        <v>0</v>
      </c>
      <c r="O20" s="9" t="s">
        <v>2</v>
      </c>
      <c r="P20" s="9"/>
    </row>
    <row r="21" spans="1:18" ht="8.25" customHeight="1">
      <c r="A21" s="2"/>
      <c r="B21" s="17"/>
      <c r="C21" s="2"/>
      <c r="D21" s="2"/>
      <c r="E21" s="2"/>
      <c r="F21" s="2"/>
      <c r="G21" s="2"/>
      <c r="H21" s="2"/>
      <c r="I21" s="2"/>
      <c r="J21" s="18"/>
      <c r="K21" s="2"/>
      <c r="L21" s="2"/>
      <c r="M21" s="2"/>
      <c r="N21" s="18"/>
      <c r="O21" s="19"/>
      <c r="P21" s="9"/>
    </row>
    <row r="22" spans="1:18" ht="15.75">
      <c r="B22" s="10" t="s">
        <v>18</v>
      </c>
      <c r="J22" s="3"/>
      <c r="N22" s="3"/>
      <c r="O22" s="9"/>
      <c r="P22" s="9"/>
    </row>
    <row r="23" spans="1:18">
      <c r="B23" s="13" t="s">
        <v>33</v>
      </c>
      <c r="C23" s="14"/>
      <c r="D23" s="14"/>
      <c r="E23" s="14"/>
      <c r="J23" s="1">
        <f>'Berekening verbruik'!I23</f>
        <v>31</v>
      </c>
      <c r="K23" s="1" t="s">
        <v>9</v>
      </c>
      <c r="L23" s="1">
        <v>20</v>
      </c>
      <c r="M23" s="1" t="s">
        <v>7</v>
      </c>
      <c r="N23" s="3">
        <f>((L23*J23)/365)*'Berekening verbruik'!C10</f>
        <v>0</v>
      </c>
      <c r="O23" s="9" t="s">
        <v>2</v>
      </c>
      <c r="P23" s="61">
        <v>0.06</v>
      </c>
    </row>
    <row r="24" spans="1:18">
      <c r="B24" s="13" t="s">
        <v>34</v>
      </c>
      <c r="J24" s="1">
        <f>'Berekening verbruik'!I23</f>
        <v>31</v>
      </c>
      <c r="K24" s="1" t="s">
        <v>9</v>
      </c>
      <c r="L24" s="1">
        <v>4</v>
      </c>
      <c r="M24" s="1" t="s">
        <v>7</v>
      </c>
      <c r="N24" s="3">
        <f>(-IF('Berekening verbruik'!C12*L24&gt;L23*'Berekening verbruik'!C10,20*'Berekening verbruik'!C10,'Berekening verbruik'!C12*L24))*(IF('Berekening verbruik'!I23=1,'Berekening verbruik'!#REF!,('Berekening verbruik'!I23))/365)</f>
        <v>0</v>
      </c>
      <c r="O24" s="9" t="s">
        <v>2</v>
      </c>
      <c r="P24" s="61">
        <v>0.06</v>
      </c>
    </row>
    <row r="25" spans="1:18">
      <c r="B25" s="13" t="s">
        <v>38</v>
      </c>
      <c r="J25" s="3">
        <f>J9</f>
        <v>0</v>
      </c>
      <c r="K25" s="1" t="s">
        <v>0</v>
      </c>
      <c r="L25" s="20">
        <v>1.7019</v>
      </c>
      <c r="M25" s="1" t="s">
        <v>8</v>
      </c>
      <c r="N25" s="3">
        <f>J25*L25</f>
        <v>0</v>
      </c>
      <c r="O25" s="9" t="s">
        <v>2</v>
      </c>
      <c r="P25" s="61">
        <v>0.06</v>
      </c>
    </row>
    <row r="26" spans="1:18">
      <c r="B26" s="13" t="s">
        <v>16</v>
      </c>
      <c r="J26" s="3">
        <f>J10</f>
        <v>0</v>
      </c>
      <c r="K26" s="1" t="s">
        <v>0</v>
      </c>
      <c r="L26" s="20">
        <f>2*L25</f>
        <v>3.4037999999999999</v>
      </c>
      <c r="M26" s="1" t="s">
        <v>8</v>
      </c>
      <c r="N26" s="3">
        <f>J26*L26</f>
        <v>0</v>
      </c>
      <c r="O26" s="9" t="s">
        <v>2</v>
      </c>
      <c r="P26" s="61">
        <v>0.06</v>
      </c>
    </row>
    <row r="27" spans="1:18" ht="5.25" customHeight="1">
      <c r="B27" s="13"/>
      <c r="J27" s="3"/>
      <c r="N27" s="3"/>
      <c r="O27" s="9"/>
      <c r="P27" s="9"/>
    </row>
    <row r="28" spans="1:18" ht="15.75">
      <c r="B28" s="10" t="s">
        <v>21</v>
      </c>
      <c r="J28" s="3"/>
      <c r="N28" s="16">
        <f>SUM(N23:N26)</f>
        <v>0</v>
      </c>
      <c r="O28" s="9" t="s">
        <v>2</v>
      </c>
      <c r="P28" s="9"/>
    </row>
    <row r="29" spans="1:18" ht="6.75" customHeight="1" thickBot="1">
      <c r="B29" s="13"/>
      <c r="O29" s="9"/>
      <c r="P29" s="9"/>
    </row>
    <row r="30" spans="1:18" ht="15.75">
      <c r="B30" s="21" t="s">
        <v>10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>N12+N20+N28</f>
        <v>0</v>
      </c>
      <c r="O30" s="24" t="s">
        <v>2</v>
      </c>
      <c r="P30" s="60"/>
    </row>
    <row r="31" spans="1:18" ht="16.5" thickBot="1">
      <c r="B31" s="25" t="s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>
        <f>IF('Berekening verbruik'!C14="ja",0.8*N30,0)</f>
        <v>0</v>
      </c>
      <c r="O31" s="28" t="s">
        <v>2</v>
      </c>
      <c r="P31" s="60"/>
    </row>
    <row r="32" spans="1:18" ht="18.75">
      <c r="B32" s="13"/>
      <c r="M32" s="29"/>
      <c r="N32" s="30">
        <f>N30-N31</f>
        <v>0</v>
      </c>
      <c r="O32" s="31" t="s">
        <v>2</v>
      </c>
      <c r="P32" s="31"/>
    </row>
    <row r="33" spans="2:7" ht="6" customHeight="1">
      <c r="B33" s="37"/>
      <c r="C33" s="58"/>
      <c r="D33" s="58"/>
      <c r="E33" s="40"/>
      <c r="F33" s="196"/>
      <c r="G33" s="196"/>
    </row>
    <row r="34" spans="2:7" ht="36" customHeight="1">
      <c r="B34" s="198" t="s">
        <v>31</v>
      </c>
      <c r="C34" s="199"/>
      <c r="D34" s="200"/>
      <c r="E34" s="40"/>
      <c r="F34" s="197"/>
      <c r="G34" s="197"/>
    </row>
    <row r="35" spans="2:7" ht="15" customHeight="1">
      <c r="B35" s="40"/>
      <c r="C35" s="40"/>
      <c r="D35" s="40"/>
      <c r="E35" s="40"/>
      <c r="G35" s="3"/>
    </row>
    <row r="36" spans="2:7">
      <c r="G36" s="3"/>
    </row>
  </sheetData>
  <sheetProtection algorithmName="SHA-512" hashValue="sjplaxJtL6VB9dJTr48je8Uf2qTd0/O1mBvEvnBEkO5ZmA3qKfOHp0DJ2yuG/PLE+EOq0r79fNPDpdo9WZxhbw==" saltValue="KEmj4sXQBzZzXIaV/+sq3Q==" spinCount="100000" sheet="1" selectLockedCells="1"/>
  <mergeCells count="4">
    <mergeCell ref="B2:O3"/>
    <mergeCell ref="F33:G33"/>
    <mergeCell ref="F34:G34"/>
    <mergeCell ref="B34:D34"/>
  </mergeCells>
  <hyperlinks>
    <hyperlink ref="B34:C34" location="'Huishoudelijk A'!A1" display="Ga naar simulatie huishoudelijk tarief" xr:uid="{00000000-0004-0000-0100-000003000000}"/>
    <hyperlink ref="B34" location="'Niet huishoudelijk A'!A1" display="Berekening niet huishoudelijk tarief" xr:uid="{00000000-0004-0000-0100-000004000000}"/>
    <hyperlink ref="B34:D34" location="'Berekening verbruik'!A1" display="Ga terug naar parameters" xr:uid="{00000000-0004-0000-0100-000005000000}"/>
  </hyperlinks>
  <pageMargins left="0.7" right="0.7" top="0.75" bottom="0.75" header="0.3" footer="0.3"/>
  <pageSetup paperSize="9" scale="50" fitToHeight="0" orientation="portrait" r:id="rId1"/>
  <customProperties>
    <customPr name="_pios_id" r:id="rId2"/>
  </customProperties>
  <ignoredErrors>
    <ignoredError sqref="U3" emptyCellReferenc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3"/>
  </sheetPr>
  <dimension ref="B1:T34"/>
  <sheetViews>
    <sheetView zoomScaleNormal="100" workbookViewId="0">
      <selection activeCell="B32" sqref="B32:C32"/>
    </sheetView>
  </sheetViews>
  <sheetFormatPr defaultColWidth="9.140625" defaultRowHeight="15"/>
  <cols>
    <col min="1" max="1" width="2" style="1" customWidth="1"/>
    <col min="2" max="2" width="9.140625" style="1"/>
    <col min="3" max="3" width="29.28515625" style="1" customWidth="1"/>
    <col min="4" max="4" width="4.140625" style="1" customWidth="1"/>
    <col min="5" max="7" width="9.140625" style="1"/>
    <col min="8" max="8" width="12.85546875" style="1" customWidth="1"/>
    <col min="9" max="9" width="4" style="1" customWidth="1"/>
    <col min="10" max="10" width="9.140625" style="1"/>
    <col min="11" max="11" width="5.42578125" style="1" customWidth="1"/>
    <col min="12" max="12" width="11" style="1" customWidth="1"/>
    <col min="13" max="14" width="4" style="1" customWidth="1"/>
    <col min="15" max="18" width="9.140625" style="1"/>
    <col min="19" max="19" width="22.42578125" style="1" customWidth="1"/>
    <col min="20" max="16384" width="9.140625" style="1"/>
  </cols>
  <sheetData>
    <row r="1" spans="2:19" ht="15.75" thickBot="1">
      <c r="B1" s="4"/>
      <c r="E1" s="5"/>
      <c r="F1" s="5"/>
    </row>
    <row r="2" spans="2:19" ht="15.75" customHeight="1">
      <c r="B2" s="190" t="s">
        <v>36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2"/>
      <c r="N2" s="38"/>
      <c r="O2" s="38"/>
      <c r="P2" s="165" t="s">
        <v>28</v>
      </c>
      <c r="Q2" s="166"/>
      <c r="R2" s="166"/>
      <c r="S2" s="167"/>
    </row>
    <row r="3" spans="2:19" ht="15.75" customHeight="1" thickBot="1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38"/>
      <c r="O3" s="38"/>
      <c r="P3" s="168" t="s">
        <v>43</v>
      </c>
      <c r="Q3" s="174"/>
      <c r="R3" s="174"/>
      <c r="S3" s="170" t="str">
        <f>VLOOKUP('Berekening verbruik'!C8,'PRIJS GB HH'!A:C,3,0)</f>
        <v>Gent</v>
      </c>
    </row>
    <row r="4" spans="2:19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P4" s="168" t="s">
        <v>24</v>
      </c>
      <c r="Q4" s="169"/>
      <c r="R4" s="169"/>
      <c r="S4" s="170">
        <f>'Berekening verbruik'!C10</f>
        <v>0</v>
      </c>
    </row>
    <row r="5" spans="2:19" ht="15.75">
      <c r="B5" s="10" t="s">
        <v>1</v>
      </c>
      <c r="H5" s="4"/>
      <c r="I5" s="60" t="s">
        <v>4</v>
      </c>
      <c r="J5" s="4"/>
      <c r="K5" s="60" t="s">
        <v>5</v>
      </c>
      <c r="L5" s="60" t="s">
        <v>6</v>
      </c>
      <c r="N5" s="4" t="s">
        <v>340</v>
      </c>
      <c r="P5" s="168" t="s">
        <v>25</v>
      </c>
      <c r="Q5" s="169"/>
      <c r="R5" s="169"/>
      <c r="S5" s="170">
        <f>'Berekening verbruik'!C12</f>
        <v>0</v>
      </c>
    </row>
    <row r="6" spans="2:19">
      <c r="B6" s="13" t="s">
        <v>338</v>
      </c>
      <c r="H6" s="1">
        <f>'Berekening verbruik'!I23</f>
        <v>31</v>
      </c>
      <c r="I6" s="1" t="s">
        <v>9</v>
      </c>
      <c r="J6" s="1">
        <v>50</v>
      </c>
      <c r="K6" s="1" t="s">
        <v>7</v>
      </c>
      <c r="L6" s="3">
        <f>J6*(H6/365)*'Berekening verbruik'!C10</f>
        <v>0</v>
      </c>
      <c r="M6" s="9" t="s">
        <v>2</v>
      </c>
      <c r="N6" s="61">
        <v>0.06</v>
      </c>
      <c r="P6" s="168" t="s">
        <v>26</v>
      </c>
      <c r="Q6" s="169"/>
      <c r="R6" s="169"/>
      <c r="S6" s="170" t="s">
        <v>30</v>
      </c>
    </row>
    <row r="7" spans="2:19">
      <c r="B7" s="13" t="s">
        <v>34</v>
      </c>
      <c r="H7" s="1">
        <f>'Berekening verbruik'!I23</f>
        <v>31</v>
      </c>
      <c r="I7" s="1" t="s">
        <v>9</v>
      </c>
      <c r="J7" s="1">
        <v>10</v>
      </c>
      <c r="K7" s="1" t="s">
        <v>7</v>
      </c>
      <c r="L7" s="3">
        <f>(-IF('Berekening verbruik'!C12*J7&gt;J6*'Berekening verbruik'!C10,50*'Berekening verbruik'!C10,'Berekening verbruik'!C12*J7))*('Berekening verbruik'!I23/365)</f>
        <v>0</v>
      </c>
      <c r="M7" s="9" t="s">
        <v>2</v>
      </c>
      <c r="N7" s="61">
        <v>0.06</v>
      </c>
      <c r="P7" s="168" t="s">
        <v>27</v>
      </c>
      <c r="Q7" s="169"/>
      <c r="R7" s="169"/>
      <c r="S7" s="170">
        <f>IF('Berekening verbruik'!I23=1,'Berekening verbruik'!#REF!,'Berekening verbruik'!I23)</f>
        <v>31</v>
      </c>
    </row>
    <row r="8" spans="2:19">
      <c r="B8" s="13" t="s">
        <v>380</v>
      </c>
      <c r="D8" s="1">
        <f>'Berekening verbruik'!C16</f>
        <v>0</v>
      </c>
      <c r="E8" s="40"/>
      <c r="F8" s="40"/>
      <c r="G8" s="40"/>
      <c r="H8" s="1">
        <f>'Berekening verbruik'!I23</f>
        <v>31</v>
      </c>
      <c r="I8" s="1" t="s">
        <v>9</v>
      </c>
      <c r="J8" s="1">
        <f>VLOOKUP(D8,'PRIJS CAPA'!A1:B10,2,0)</f>
        <v>0</v>
      </c>
      <c r="K8" s="1" t="s">
        <v>7</v>
      </c>
      <c r="L8" s="3">
        <f>J8/365*H8</f>
        <v>0</v>
      </c>
      <c r="M8" s="9" t="s">
        <v>2</v>
      </c>
      <c r="N8" s="61">
        <v>0.06</v>
      </c>
      <c r="P8" s="168"/>
      <c r="Q8" s="169"/>
      <c r="R8" s="169"/>
      <c r="S8" s="170"/>
    </row>
    <row r="9" spans="2:19">
      <c r="B9" s="44" t="s">
        <v>32</v>
      </c>
      <c r="H9" s="15">
        <f>IF('Berekening verbruik'!D32=0,0,IF('Berekening verbruik'!D32&gt;(500*('Berekening verbruik'!I23-1)/365),500*('Berekening verbruik'!I23-1)/365,'Berekening verbruik'!D32))</f>
        <v>0</v>
      </c>
      <c r="I9" s="1" t="s">
        <v>0</v>
      </c>
      <c r="J9" s="20">
        <f>VLOOKUP('Berekening verbruik'!C8,'PRIJS DW'!A:F,6,0)</f>
        <v>4.8536000000000001</v>
      </c>
      <c r="K9" s="1" t="s">
        <v>8</v>
      </c>
      <c r="L9" s="3">
        <f>H9*J9</f>
        <v>0</v>
      </c>
      <c r="M9" s="9" t="s">
        <v>2</v>
      </c>
      <c r="N9" s="61">
        <v>0.06</v>
      </c>
      <c r="P9" s="171" t="s">
        <v>29</v>
      </c>
      <c r="Q9" s="172"/>
      <c r="R9" s="172"/>
      <c r="S9" s="173" t="e">
        <f>IF('Berekening verbruik'!D32=0,'Berekening verbruik'!#REF!,'Berekening verbruik'!D32)</f>
        <v>#REF!</v>
      </c>
    </row>
    <row r="10" spans="2:19">
      <c r="B10" s="13" t="s">
        <v>11</v>
      </c>
      <c r="H10" s="32">
        <f>IF('Berekening verbruik'!D32=0,0,IF('Berekening verbruik'!D32&gt;(50000*('Berekening verbruik'!I23)/365),49500*('Berekening verbruik'!I23)/365,'Berekening verbruik'!D32-H9))</f>
        <v>0</v>
      </c>
      <c r="I10" s="1" t="s">
        <v>0</v>
      </c>
      <c r="J10" s="20">
        <f>VLOOKUP('Berekening verbruik'!C8,'PRIJS DW'!A:G,7,0)</f>
        <v>1.9971000000000001</v>
      </c>
      <c r="K10" s="1" t="s">
        <v>8</v>
      </c>
      <c r="L10" s="3">
        <f>H10*J10</f>
        <v>0</v>
      </c>
      <c r="M10" s="9" t="s">
        <v>2</v>
      </c>
      <c r="N10" s="61">
        <v>0.06</v>
      </c>
    </row>
    <row r="11" spans="2:19" ht="6" customHeight="1">
      <c r="B11" s="13"/>
      <c r="H11" s="32"/>
      <c r="J11" s="20"/>
      <c r="L11" s="3"/>
      <c r="M11" s="9"/>
      <c r="N11" s="9"/>
    </row>
    <row r="12" spans="2:19" ht="15.75">
      <c r="B12" s="10" t="s">
        <v>3</v>
      </c>
      <c r="H12" s="3"/>
      <c r="L12" s="16">
        <f>SUM(L6:L10)</f>
        <v>0</v>
      </c>
      <c r="M12" s="9" t="s">
        <v>2</v>
      </c>
      <c r="N12" s="9"/>
    </row>
    <row r="13" spans="2:19">
      <c r="B13" s="17"/>
      <c r="C13" s="2"/>
      <c r="D13" s="2"/>
      <c r="E13" s="2"/>
      <c r="F13" s="2"/>
      <c r="G13" s="2"/>
      <c r="H13" s="18"/>
      <c r="I13" s="2"/>
      <c r="J13" s="2"/>
      <c r="K13" s="2"/>
      <c r="L13" s="18"/>
      <c r="M13" s="19"/>
      <c r="N13" s="9"/>
      <c r="Q13" s="40" t="s">
        <v>381</v>
      </c>
    </row>
    <row r="14" spans="2:19" ht="15.75">
      <c r="B14" s="10" t="s">
        <v>19</v>
      </c>
      <c r="H14" s="3"/>
      <c r="L14" s="3"/>
      <c r="M14" s="9"/>
      <c r="N14" s="9"/>
    </row>
    <row r="15" spans="2:19">
      <c r="B15" s="13" t="s">
        <v>338</v>
      </c>
      <c r="H15" s="1">
        <f>'Berekening verbruik'!I23</f>
        <v>31</v>
      </c>
      <c r="I15" s="1" t="s">
        <v>9</v>
      </c>
      <c r="J15" s="1">
        <v>30</v>
      </c>
      <c r="K15" s="1" t="s">
        <v>7</v>
      </c>
      <c r="L15" s="3">
        <f>J15*(H15/365)*'Berekening verbruik'!C10</f>
        <v>0</v>
      </c>
      <c r="M15" s="9" t="s">
        <v>2</v>
      </c>
      <c r="N15" s="61">
        <v>0.06</v>
      </c>
    </row>
    <row r="16" spans="2:19">
      <c r="B16" s="13" t="s">
        <v>34</v>
      </c>
      <c r="H16" s="1">
        <f>'Berekening verbruik'!I23</f>
        <v>31</v>
      </c>
      <c r="I16" s="1" t="s">
        <v>9</v>
      </c>
      <c r="J16" s="1">
        <v>6</v>
      </c>
      <c r="K16" s="1" t="s">
        <v>7</v>
      </c>
      <c r="L16" s="3">
        <f>(-IF('Berekening verbruik'!C12*J16&gt;J15*'Berekening verbruik'!C10,30*'Berekening verbruik'!C10,'Berekening verbruik'!C12*J16))*('Berekening verbruik'!I23)/365</f>
        <v>0</v>
      </c>
      <c r="M16" s="9" t="s">
        <v>2</v>
      </c>
      <c r="N16" s="61">
        <v>0.06</v>
      </c>
      <c r="P16" s="42"/>
    </row>
    <row r="17" spans="2:20">
      <c r="B17" s="44" t="s">
        <v>23</v>
      </c>
      <c r="H17" s="3">
        <f>'Berekening verbruik'!D32</f>
        <v>0</v>
      </c>
      <c r="I17" s="1" t="s">
        <v>0</v>
      </c>
      <c r="J17" s="56">
        <f>VLOOKUP('Berekening verbruik'!C8,'PRIJS GB NHH'!A:D,4,0)</f>
        <v>2.2172999999999998</v>
      </c>
      <c r="K17" s="1" t="s">
        <v>8</v>
      </c>
      <c r="L17" s="3">
        <f>H17*J17</f>
        <v>0</v>
      </c>
      <c r="M17" s="9" t="s">
        <v>2</v>
      </c>
      <c r="N17" s="61">
        <v>0.06</v>
      </c>
      <c r="P17" s="43"/>
      <c r="T17" s="20"/>
    </row>
    <row r="18" spans="2:20" ht="6" customHeight="1">
      <c r="B18" s="41"/>
      <c r="H18" s="3"/>
      <c r="J18" s="6"/>
      <c r="L18" s="3"/>
      <c r="M18" s="9"/>
      <c r="N18" s="61"/>
      <c r="P18" s="42"/>
      <c r="T18" s="20"/>
    </row>
    <row r="19" spans="2:20" ht="15.75">
      <c r="B19" s="10" t="s">
        <v>20</v>
      </c>
      <c r="H19" s="3"/>
      <c r="L19" s="16">
        <f>SUM(L15:L17)</f>
        <v>0</v>
      </c>
      <c r="M19" s="9" t="s">
        <v>2</v>
      </c>
      <c r="N19" s="9"/>
    </row>
    <row r="20" spans="2:20">
      <c r="B20" s="17"/>
      <c r="C20" s="2"/>
      <c r="D20" s="2"/>
      <c r="E20" s="2"/>
      <c r="F20" s="2"/>
      <c r="G20" s="2"/>
      <c r="H20" s="18"/>
      <c r="I20" s="2"/>
      <c r="J20" s="2"/>
      <c r="K20" s="2"/>
      <c r="L20" s="18"/>
      <c r="M20" s="19"/>
      <c r="N20" s="9"/>
    </row>
    <row r="21" spans="2:20" ht="15.75">
      <c r="B21" s="10" t="s">
        <v>18</v>
      </c>
      <c r="H21" s="3"/>
      <c r="L21" s="3"/>
      <c r="M21" s="9"/>
      <c r="N21" s="9"/>
    </row>
    <row r="22" spans="2:20">
      <c r="B22" s="13" t="s">
        <v>338</v>
      </c>
      <c r="H22" s="1">
        <f>'Berekening verbruik'!I23</f>
        <v>31</v>
      </c>
      <c r="I22" s="1" t="s">
        <v>9</v>
      </c>
      <c r="J22" s="1">
        <v>20</v>
      </c>
      <c r="K22" s="1" t="s">
        <v>7</v>
      </c>
      <c r="L22" s="3">
        <f>J22*((H22)/365)*'Berekening verbruik'!C10</f>
        <v>0</v>
      </c>
      <c r="M22" s="9" t="s">
        <v>2</v>
      </c>
      <c r="N22" s="61">
        <v>0.06</v>
      </c>
    </row>
    <row r="23" spans="2:20">
      <c r="B23" s="13" t="s">
        <v>34</v>
      </c>
      <c r="H23" s="1">
        <f>'Berekening verbruik'!I23</f>
        <v>31</v>
      </c>
      <c r="I23" s="1" t="s">
        <v>9</v>
      </c>
      <c r="J23" s="1">
        <v>4</v>
      </c>
      <c r="K23" s="1" t="s">
        <v>7</v>
      </c>
      <c r="L23" s="3">
        <f>(-IF('Berekening verbruik'!C12*J23&gt;J22*'Berekening verbruik'!C10,20*'Berekening verbruik'!C10,'Berekening verbruik'!C12*J23))*('Berekening verbruik'!I23)/365</f>
        <v>0</v>
      </c>
      <c r="M23" s="9" t="s">
        <v>2</v>
      </c>
      <c r="N23" s="61">
        <v>0.06</v>
      </c>
    </row>
    <row r="24" spans="2:20">
      <c r="B24" s="44" t="s">
        <v>22</v>
      </c>
      <c r="H24" s="3">
        <f>'Berekening verbruik'!D32</f>
        <v>0</v>
      </c>
      <c r="I24" s="1" t="s">
        <v>0</v>
      </c>
      <c r="J24" s="56">
        <v>1.9280999999999999</v>
      </c>
      <c r="K24" s="1" t="s">
        <v>8</v>
      </c>
      <c r="L24" s="3">
        <f>H24*J24</f>
        <v>0</v>
      </c>
      <c r="M24" s="9" t="s">
        <v>2</v>
      </c>
      <c r="N24" s="61">
        <v>0.06</v>
      </c>
    </row>
    <row r="25" spans="2:20" ht="6" customHeight="1">
      <c r="B25" s="41"/>
      <c r="H25" s="3"/>
      <c r="J25" s="20"/>
      <c r="L25" s="3"/>
      <c r="M25" s="9"/>
      <c r="N25" s="9"/>
    </row>
    <row r="26" spans="2:20" ht="15.75">
      <c r="B26" s="10" t="s">
        <v>21</v>
      </c>
      <c r="H26" s="3"/>
      <c r="L26" s="16">
        <f>SUM(L22:L24)</f>
        <v>0</v>
      </c>
      <c r="M26" s="9" t="s">
        <v>2</v>
      </c>
      <c r="N26" s="9"/>
    </row>
    <row r="27" spans="2:20" ht="15.75" thickBot="1">
      <c r="B27" s="13"/>
      <c r="M27" s="9"/>
      <c r="N27" s="9"/>
    </row>
    <row r="28" spans="2:20" ht="16.5" thickBot="1">
      <c r="B28" s="33" t="s">
        <v>10</v>
      </c>
      <c r="C28" s="34"/>
      <c r="D28" s="34"/>
      <c r="E28" s="34"/>
      <c r="F28" s="34"/>
      <c r="G28" s="34"/>
      <c r="H28" s="34"/>
      <c r="I28" s="34"/>
      <c r="J28" s="34"/>
      <c r="K28" s="34"/>
      <c r="L28" s="35">
        <f>L12+L19+L26</f>
        <v>0</v>
      </c>
      <c r="M28" s="36" t="s">
        <v>2</v>
      </c>
      <c r="N28" s="60"/>
    </row>
    <row r="30" spans="2:20">
      <c r="B30" s="39" t="s">
        <v>37</v>
      </c>
    </row>
    <row r="32" spans="2:20" ht="39.75" customHeight="1">
      <c r="B32" s="198" t="s">
        <v>17</v>
      </c>
      <c r="C32" s="200"/>
    </row>
    <row r="33" spans="2:3">
      <c r="B33" s="40"/>
      <c r="C33" s="40"/>
    </row>
    <row r="34" spans="2:3" ht="36" customHeight="1">
      <c r="B34" s="198" t="s">
        <v>31</v>
      </c>
      <c r="C34" s="200"/>
    </row>
  </sheetData>
  <sheetProtection algorithmName="SHA-512" hashValue="LtOzcJ3A2/FieBPUr+UcQi7dIQ9UK1FfMBzKI4Ed50sOneuZ228qHALNLl7xjHInrFFb6gW7YSy12cMJ0M8U2w==" saltValue="daNFblmwdubB/G2p9Nyqxg==" spinCount="100000" sheet="1" selectLockedCells="1"/>
  <mergeCells count="3">
    <mergeCell ref="B2:M3"/>
    <mergeCell ref="B32:C32"/>
    <mergeCell ref="B34:C34"/>
  </mergeCells>
  <hyperlinks>
    <hyperlink ref="B32" location="'Niet huishoudelijk A'!A1" display="Berekening niet huishoudelijk tarief" xr:uid="{00000000-0004-0000-0200-000000000000}"/>
    <hyperlink ref="B32:C32" location="Huishoudelijk!A1" display="Ga naar simulatie huishoudelijk tarief" xr:uid="{00000000-0004-0000-0200-000001000000}"/>
    <hyperlink ref="B34:C34" location="Parameters!A1" display="Ga terug naar parameters" xr:uid="{00000000-0004-0000-0200-000002000000}"/>
    <hyperlink ref="B34" location="'Niet huishoudelijk A'!A1" display="Berekening niet huishoudelijk tarief" xr:uid="{00000000-0004-0000-0200-000003000000}"/>
    <hyperlink ref="B34:C34" location="'Berekening verbruik'!A1" display="Ga terug naar parameters" xr:uid="{00000000-0004-0000-0200-000004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111"/>
  <sheetViews>
    <sheetView workbookViewId="0">
      <selection activeCell="B17" sqref="B17"/>
    </sheetView>
  </sheetViews>
  <sheetFormatPr defaultRowHeight="15"/>
  <cols>
    <col min="1" max="1" width="16.7109375" customWidth="1"/>
  </cols>
  <sheetData>
    <row r="1" spans="1:8">
      <c r="A1" t="s">
        <v>26</v>
      </c>
      <c r="B1" s="49">
        <v>1500</v>
      </c>
      <c r="E1" t="s">
        <v>354</v>
      </c>
      <c r="H1" t="s">
        <v>377</v>
      </c>
    </row>
    <row r="2" spans="1:8">
      <c r="A2" t="s">
        <v>40</v>
      </c>
      <c r="B2" s="49">
        <v>1620</v>
      </c>
      <c r="E2" t="s">
        <v>353</v>
      </c>
      <c r="H2">
        <v>40</v>
      </c>
    </row>
    <row r="3" spans="1:8">
      <c r="A3" t="s">
        <v>41</v>
      </c>
      <c r="B3" s="49">
        <v>1630</v>
      </c>
      <c r="E3" t="s">
        <v>352</v>
      </c>
      <c r="H3">
        <v>50</v>
      </c>
    </row>
    <row r="4" spans="1:8">
      <c r="B4" s="49">
        <v>1650</v>
      </c>
      <c r="H4">
        <v>60</v>
      </c>
    </row>
    <row r="5" spans="1:8">
      <c r="B5" s="49">
        <v>1651</v>
      </c>
      <c r="H5">
        <v>65</v>
      </c>
    </row>
    <row r="6" spans="1:8">
      <c r="B6" s="49">
        <v>1652</v>
      </c>
      <c r="H6">
        <v>80</v>
      </c>
    </row>
    <row r="7" spans="1:8">
      <c r="B7" s="49">
        <v>1653</v>
      </c>
      <c r="H7">
        <v>100</v>
      </c>
    </row>
    <row r="8" spans="1:8">
      <c r="B8" s="49">
        <v>1654</v>
      </c>
      <c r="H8">
        <v>150</v>
      </c>
    </row>
    <row r="9" spans="1:8">
      <c r="B9" s="49">
        <v>1700</v>
      </c>
      <c r="H9">
        <v>200</v>
      </c>
    </row>
    <row r="10" spans="1:8">
      <c r="B10" s="49">
        <v>1730</v>
      </c>
    </row>
    <row r="11" spans="1:8">
      <c r="B11" s="49">
        <v>1731</v>
      </c>
    </row>
    <row r="12" spans="1:8">
      <c r="B12" s="49">
        <v>1740</v>
      </c>
    </row>
    <row r="13" spans="1:8">
      <c r="B13" s="49">
        <v>1741</v>
      </c>
    </row>
    <row r="14" spans="1:8">
      <c r="B14" s="49">
        <v>1742</v>
      </c>
    </row>
    <row r="15" spans="1:8">
      <c r="B15" s="49">
        <v>1745</v>
      </c>
    </row>
    <row r="16" spans="1:8">
      <c r="B16" s="49">
        <v>1770</v>
      </c>
    </row>
    <row r="17" spans="2:2">
      <c r="B17" s="96">
        <v>1780</v>
      </c>
    </row>
    <row r="18" spans="2:2">
      <c r="B18" s="49">
        <v>1790</v>
      </c>
    </row>
    <row r="19" spans="2:2">
      <c r="B19" s="49">
        <v>1830</v>
      </c>
    </row>
    <row r="20" spans="2:2">
      <c r="B20" s="49">
        <v>1831</v>
      </c>
    </row>
    <row r="21" spans="2:2">
      <c r="B21" s="49">
        <v>1930</v>
      </c>
    </row>
    <row r="22" spans="2:2">
      <c r="B22" s="49">
        <v>1932</v>
      </c>
    </row>
    <row r="23" spans="2:2">
      <c r="B23" s="49">
        <v>1933</v>
      </c>
    </row>
    <row r="24" spans="2:2">
      <c r="B24" s="49">
        <v>8000</v>
      </c>
    </row>
    <row r="25" spans="2:2">
      <c r="B25" s="49">
        <v>8020</v>
      </c>
    </row>
    <row r="26" spans="2:2">
      <c r="B26" s="49">
        <v>8200</v>
      </c>
    </row>
    <row r="27" spans="2:2">
      <c r="B27" s="49">
        <v>8310</v>
      </c>
    </row>
    <row r="28" spans="2:2">
      <c r="B28" s="49">
        <v>8340</v>
      </c>
    </row>
    <row r="29" spans="2:2">
      <c r="B29" s="49">
        <v>8370</v>
      </c>
    </row>
    <row r="30" spans="2:2">
      <c r="B30" s="49">
        <v>8377</v>
      </c>
    </row>
    <row r="31" spans="2:2">
      <c r="B31" s="49">
        <v>8380</v>
      </c>
    </row>
    <row r="32" spans="2:2">
      <c r="B32" s="49">
        <v>8400</v>
      </c>
    </row>
    <row r="33" spans="2:2">
      <c r="B33" s="49">
        <v>8420</v>
      </c>
    </row>
    <row r="34" spans="2:2">
      <c r="B34" s="49">
        <v>8421</v>
      </c>
    </row>
    <row r="35" spans="2:2">
      <c r="B35" s="49">
        <v>8430</v>
      </c>
    </row>
    <row r="36" spans="2:2">
      <c r="B36" s="49">
        <v>8431</v>
      </c>
    </row>
    <row r="37" spans="2:2">
      <c r="B37" s="51">
        <v>8432</v>
      </c>
    </row>
    <row r="38" spans="2:2">
      <c r="B38" s="49">
        <v>8433</v>
      </c>
    </row>
    <row r="39" spans="2:2">
      <c r="B39" s="49">
        <v>8434</v>
      </c>
    </row>
    <row r="40" spans="2:2">
      <c r="B40" s="49">
        <v>8490</v>
      </c>
    </row>
    <row r="41" spans="2:2">
      <c r="B41" s="49">
        <v>8730</v>
      </c>
    </row>
    <row r="42" spans="2:2">
      <c r="B42" s="49">
        <v>8755</v>
      </c>
    </row>
    <row r="43" spans="2:2">
      <c r="B43" s="49">
        <v>8890</v>
      </c>
    </row>
    <row r="44" spans="2:2">
      <c r="B44" s="49">
        <v>9000</v>
      </c>
    </row>
    <row r="45" spans="2:2">
      <c r="B45" s="49">
        <v>9030</v>
      </c>
    </row>
    <row r="46" spans="2:2">
      <c r="B46" s="49">
        <v>9031</v>
      </c>
    </row>
    <row r="47" spans="2:2">
      <c r="B47" s="49">
        <v>9032</v>
      </c>
    </row>
    <row r="48" spans="2:2">
      <c r="B48" s="49">
        <v>9040</v>
      </c>
    </row>
    <row r="49" spans="2:2">
      <c r="B49" s="49">
        <v>9041</v>
      </c>
    </row>
    <row r="50" spans="2:2">
      <c r="B50" s="49">
        <v>9042</v>
      </c>
    </row>
    <row r="51" spans="2:2">
      <c r="B51" s="49">
        <v>9050</v>
      </c>
    </row>
    <row r="52" spans="2:2">
      <c r="B52" s="49">
        <v>9051</v>
      </c>
    </row>
    <row r="53" spans="2:2">
      <c r="B53" s="49">
        <v>9052</v>
      </c>
    </row>
    <row r="54" spans="2:2">
      <c r="B54" s="49">
        <v>9060</v>
      </c>
    </row>
    <row r="55" spans="2:2">
      <c r="B55" s="49">
        <v>9070</v>
      </c>
    </row>
    <row r="56" spans="2:2">
      <c r="B56" s="49">
        <v>9080</v>
      </c>
    </row>
    <row r="57" spans="2:2">
      <c r="B57" s="49">
        <v>9090</v>
      </c>
    </row>
    <row r="58" spans="2:2">
      <c r="B58" s="49">
        <v>9200</v>
      </c>
    </row>
    <row r="59" spans="2:2">
      <c r="B59" s="49">
        <v>9220</v>
      </c>
    </row>
    <row r="60" spans="2:2">
      <c r="B60" s="49">
        <v>9230</v>
      </c>
    </row>
    <row r="61" spans="2:2">
      <c r="B61" s="49">
        <v>9255</v>
      </c>
    </row>
    <row r="62" spans="2:2">
      <c r="B62" s="49">
        <v>9260</v>
      </c>
    </row>
    <row r="63" spans="2:2">
      <c r="B63" s="49">
        <v>9280</v>
      </c>
    </row>
    <row r="64" spans="2:2">
      <c r="B64" s="49">
        <v>9300</v>
      </c>
    </row>
    <row r="65" spans="2:2">
      <c r="B65" s="49">
        <v>9308</v>
      </c>
    </row>
    <row r="66" spans="2:2">
      <c r="B66" s="49">
        <v>9310</v>
      </c>
    </row>
    <row r="67" spans="2:2">
      <c r="B67" s="49">
        <v>9320</v>
      </c>
    </row>
    <row r="68" spans="2:2">
      <c r="B68" s="49">
        <v>9340</v>
      </c>
    </row>
    <row r="69" spans="2:2">
      <c r="B69" s="49">
        <v>9420</v>
      </c>
    </row>
    <row r="70" spans="2:2">
      <c r="B70" s="49">
        <v>9520</v>
      </c>
    </row>
    <row r="71" spans="2:2">
      <c r="B71" s="49">
        <v>9521</v>
      </c>
    </row>
    <row r="72" spans="2:2">
      <c r="B72" s="49">
        <v>9550</v>
      </c>
    </row>
    <row r="73" spans="2:2">
      <c r="B73" s="49">
        <v>9551</v>
      </c>
    </row>
    <row r="74" spans="2:2">
      <c r="B74" s="49">
        <v>9552</v>
      </c>
    </row>
    <row r="75" spans="2:2">
      <c r="B75" s="49">
        <v>9570</v>
      </c>
    </row>
    <row r="76" spans="2:2">
      <c r="B76" s="49">
        <v>9572</v>
      </c>
    </row>
    <row r="77" spans="2:2">
      <c r="B77" s="49">
        <v>9600</v>
      </c>
    </row>
    <row r="78" spans="2:2">
      <c r="B78" s="49">
        <v>9620</v>
      </c>
    </row>
    <row r="79" spans="2:2">
      <c r="B79" s="49">
        <v>9630</v>
      </c>
    </row>
    <row r="80" spans="2:2">
      <c r="B80" s="49">
        <v>9636</v>
      </c>
    </row>
    <row r="81" spans="2:2">
      <c r="B81" s="49">
        <v>9660</v>
      </c>
    </row>
    <row r="82" spans="2:2">
      <c r="B82" s="49">
        <v>9661</v>
      </c>
    </row>
    <row r="83" spans="2:2">
      <c r="B83" s="49">
        <v>9667</v>
      </c>
    </row>
    <row r="84" spans="2:2">
      <c r="B84" s="49">
        <v>9680</v>
      </c>
    </row>
    <row r="85" spans="2:2">
      <c r="B85" s="49">
        <v>9681</v>
      </c>
    </row>
    <row r="86" spans="2:2">
      <c r="B86" s="49">
        <v>9688</v>
      </c>
    </row>
    <row r="87" spans="2:2">
      <c r="B87" s="49">
        <v>9690</v>
      </c>
    </row>
    <row r="88" spans="2:2">
      <c r="B88" s="49">
        <v>9700</v>
      </c>
    </row>
    <row r="89" spans="2:2">
      <c r="B89" s="49">
        <v>9750</v>
      </c>
    </row>
    <row r="90" spans="2:2">
      <c r="B90" s="49">
        <v>9770</v>
      </c>
    </row>
    <row r="91" spans="2:2">
      <c r="B91" s="49">
        <v>9771</v>
      </c>
    </row>
    <row r="92" spans="2:2">
      <c r="B92" s="49">
        <v>9772</v>
      </c>
    </row>
    <row r="93" spans="2:2">
      <c r="B93" s="49">
        <v>9790</v>
      </c>
    </row>
    <row r="94" spans="2:2">
      <c r="B94" s="49">
        <v>9800</v>
      </c>
    </row>
    <row r="95" spans="2:2">
      <c r="B95" s="49">
        <v>9810</v>
      </c>
    </row>
    <row r="96" spans="2:2">
      <c r="B96" s="49">
        <v>9820</v>
      </c>
    </row>
    <row r="97" spans="2:2">
      <c r="B97" s="49">
        <v>9830</v>
      </c>
    </row>
    <row r="98" spans="2:2">
      <c r="B98" s="49">
        <v>9831</v>
      </c>
    </row>
    <row r="99" spans="2:2">
      <c r="B99" s="49">
        <v>9840</v>
      </c>
    </row>
    <row r="100" spans="2:2">
      <c r="B100" s="49">
        <v>9850</v>
      </c>
    </row>
    <row r="101" spans="2:2">
      <c r="B101" s="49">
        <v>9860</v>
      </c>
    </row>
    <row r="102" spans="2:2">
      <c r="B102" s="49">
        <v>9870</v>
      </c>
    </row>
    <row r="103" spans="2:2">
      <c r="B103" s="49">
        <v>9880</v>
      </c>
    </row>
    <row r="104" spans="2:2">
      <c r="B104" s="49">
        <v>9881</v>
      </c>
    </row>
    <row r="105" spans="2:2">
      <c r="B105" s="49">
        <v>9890</v>
      </c>
    </row>
    <row r="106" spans="2:2">
      <c r="B106" s="49">
        <v>9910</v>
      </c>
    </row>
    <row r="107" spans="2:2">
      <c r="B107" s="49">
        <v>9920</v>
      </c>
    </row>
    <row r="108" spans="2:2">
      <c r="B108" s="49">
        <v>9921</v>
      </c>
    </row>
    <row r="109" spans="2:2">
      <c r="B109" s="49">
        <v>9930</v>
      </c>
    </row>
    <row r="110" spans="2:2">
      <c r="B110" s="49">
        <v>9931</v>
      </c>
    </row>
    <row r="111" spans="2:2">
      <c r="B111" s="49">
        <v>9932</v>
      </c>
    </row>
  </sheetData>
  <sheetProtection algorithmName="SHA-512" hashValue="sonTexTIT/5GyfPjIl2EdkFgZKM0ciT3FMuOJO35U0CU0grs0qtwhqx3vgP3KcNnXwXt0ooudMGyNm+sfSDTsw==" saltValue="C1+XckLWfUxueog7ZpH+7A==" spinCount="100000" sheet="1" selectLockedCells="1" selectUnlockedCells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5"/>
  <sheetViews>
    <sheetView topLeftCell="A248" workbookViewId="0">
      <selection activeCell="B17" sqref="B17"/>
    </sheetView>
  </sheetViews>
  <sheetFormatPr defaultRowHeight="15"/>
  <cols>
    <col min="2" max="2" width="16.85546875" customWidth="1"/>
    <col min="3" max="3" width="9.140625" customWidth="1"/>
    <col min="4" max="4" width="17.85546875" customWidth="1"/>
    <col min="5" max="5" width="19.7109375" customWidth="1"/>
    <col min="6" max="6" width="19.140625" customWidth="1"/>
    <col min="7" max="7" width="24.140625" customWidth="1"/>
  </cols>
  <sheetData>
    <row r="1" spans="1:7">
      <c r="A1" s="45" t="s">
        <v>42</v>
      </c>
      <c r="B1" s="46" t="s">
        <v>43</v>
      </c>
      <c r="C1" s="46" t="s">
        <v>44</v>
      </c>
      <c r="D1" s="46" t="s">
        <v>334</v>
      </c>
      <c r="E1" s="47" t="s">
        <v>335</v>
      </c>
      <c r="F1" s="57" t="s">
        <v>336</v>
      </c>
      <c r="G1" s="57" t="s">
        <v>337</v>
      </c>
    </row>
    <row r="2" spans="1:7" ht="15.75">
      <c r="A2" s="48">
        <v>9300</v>
      </c>
      <c r="B2" s="49" t="s">
        <v>47</v>
      </c>
      <c r="C2" s="49" t="s">
        <v>47</v>
      </c>
      <c r="D2" s="139">
        <v>3.0057999999999998</v>
      </c>
      <c r="E2" s="94">
        <f>Tabel12[[#This Row],[Basistarief HH]]*2</f>
        <v>6.0115999999999996</v>
      </c>
      <c r="F2" s="139">
        <v>4.8536000000000001</v>
      </c>
      <c r="G2" s="139">
        <v>1.9971000000000001</v>
      </c>
    </row>
    <row r="3" spans="1:7" ht="15.75">
      <c r="A3" s="48">
        <v>9310</v>
      </c>
      <c r="B3" s="49" t="s">
        <v>48</v>
      </c>
      <c r="C3" s="49" t="s">
        <v>47</v>
      </c>
      <c r="D3" s="139">
        <v>3.0057999999999998</v>
      </c>
      <c r="E3" s="94">
        <f>Tabel12[[#This Row],[Basistarief HH]]*2</f>
        <v>6.0115999999999996</v>
      </c>
      <c r="F3" s="139">
        <v>4.8536000000000001</v>
      </c>
      <c r="G3" s="139">
        <v>1.9971000000000001</v>
      </c>
    </row>
    <row r="4" spans="1:7" ht="15.75">
      <c r="A4" s="48">
        <v>9320</v>
      </c>
      <c r="B4" s="49" t="s">
        <v>49</v>
      </c>
      <c r="C4" s="49" t="s">
        <v>47</v>
      </c>
      <c r="D4" s="139">
        <v>3.0057999999999998</v>
      </c>
      <c r="E4" s="94">
        <f>Tabel12[[#This Row],[Basistarief HH]]*2</f>
        <v>6.0115999999999996</v>
      </c>
      <c r="F4" s="139">
        <v>4.8536000000000001</v>
      </c>
      <c r="G4" s="139">
        <v>1.9971000000000001</v>
      </c>
    </row>
    <row r="5" spans="1:7" ht="15.75">
      <c r="A5" s="48">
        <v>9308</v>
      </c>
      <c r="B5" s="49" t="s">
        <v>50</v>
      </c>
      <c r="C5" s="49" t="s">
        <v>47</v>
      </c>
      <c r="D5" s="139">
        <v>3.0057999999999998</v>
      </c>
      <c r="E5" s="94">
        <f>Tabel12[[#This Row],[Basistarief HH]]*2</f>
        <v>6.0115999999999996</v>
      </c>
      <c r="F5" s="139">
        <v>4.8536000000000001</v>
      </c>
      <c r="G5" s="139">
        <v>1.9971000000000001</v>
      </c>
    </row>
    <row r="6" spans="1:7" ht="15.75">
      <c r="A6" s="48">
        <v>9310</v>
      </c>
      <c r="B6" s="49" t="s">
        <v>51</v>
      </c>
      <c r="C6" s="49" t="s">
        <v>47</v>
      </c>
      <c r="D6" s="139">
        <v>3.0057999999999998</v>
      </c>
      <c r="E6" s="94">
        <f>Tabel12[[#This Row],[Basistarief HH]]*2</f>
        <v>6.0115999999999996</v>
      </c>
      <c r="F6" s="139">
        <v>4.8536000000000001</v>
      </c>
      <c r="G6" s="139">
        <v>1.9971000000000001</v>
      </c>
    </row>
    <row r="7" spans="1:7" ht="15.75">
      <c r="A7" s="48">
        <v>9308</v>
      </c>
      <c r="B7" s="49" t="s">
        <v>52</v>
      </c>
      <c r="C7" s="49" t="s">
        <v>47</v>
      </c>
      <c r="D7" s="139">
        <v>3.0057999999999998</v>
      </c>
      <c r="E7" s="94">
        <f>Tabel12[[#This Row],[Basistarief HH]]*2</f>
        <v>6.0115999999999996</v>
      </c>
      <c r="F7" s="139">
        <v>4.8536000000000001</v>
      </c>
      <c r="G7" s="139">
        <v>1.9971000000000001</v>
      </c>
    </row>
    <row r="8" spans="1:7" ht="15.75">
      <c r="A8" s="48">
        <v>9310</v>
      </c>
      <c r="B8" s="49" t="s">
        <v>53</v>
      </c>
      <c r="C8" s="49" t="s">
        <v>47</v>
      </c>
      <c r="D8" s="139">
        <v>3.0057999999999998</v>
      </c>
      <c r="E8" s="94">
        <f>Tabel12[[#This Row],[Basistarief HH]]*2</f>
        <v>6.0115999999999996</v>
      </c>
      <c r="F8" s="139">
        <v>4.8536000000000001</v>
      </c>
      <c r="G8" s="139">
        <v>1.9971000000000001</v>
      </c>
    </row>
    <row r="9" spans="1:7" ht="15.75">
      <c r="A9" s="48">
        <v>9310</v>
      </c>
      <c r="B9" s="49" t="s">
        <v>54</v>
      </c>
      <c r="C9" s="49" t="s">
        <v>47</v>
      </c>
      <c r="D9" s="139">
        <v>3.0057999999999998</v>
      </c>
      <c r="E9" s="94">
        <f>Tabel12[[#This Row],[Basistarief HH]]*2</f>
        <v>6.0115999999999996</v>
      </c>
      <c r="F9" s="139">
        <v>4.8536000000000001</v>
      </c>
      <c r="G9" s="139">
        <v>1.9971000000000001</v>
      </c>
    </row>
    <row r="10" spans="1:7" ht="15.75">
      <c r="A10" s="48">
        <v>9320</v>
      </c>
      <c r="B10" s="49" t="s">
        <v>55</v>
      </c>
      <c r="C10" s="49" t="s">
        <v>47</v>
      </c>
      <c r="D10" s="139">
        <v>3.0057999999999998</v>
      </c>
      <c r="E10" s="94">
        <f>Tabel12[[#This Row],[Basistarief HH]]*2</f>
        <v>6.0115999999999996</v>
      </c>
      <c r="F10" s="139">
        <v>4.8536000000000001</v>
      </c>
      <c r="G10" s="139">
        <v>1.9971000000000001</v>
      </c>
    </row>
    <row r="11" spans="1:7" ht="15.75">
      <c r="A11" s="48">
        <v>9880</v>
      </c>
      <c r="B11" s="49" t="s">
        <v>56</v>
      </c>
      <c r="C11" s="49" t="s">
        <v>56</v>
      </c>
      <c r="D11" s="139">
        <v>3.0057999999999998</v>
      </c>
      <c r="E11" s="94">
        <f>Tabel12[[#This Row],[Basistarief HH]]*2</f>
        <v>6.0115999999999996</v>
      </c>
      <c r="F11" s="139">
        <v>4.8536000000000001</v>
      </c>
      <c r="G11" s="139">
        <v>1.9971000000000001</v>
      </c>
    </row>
    <row r="12" spans="1:7" ht="15.75">
      <c r="A12" s="48">
        <v>9881</v>
      </c>
      <c r="B12" s="49" t="s">
        <v>57</v>
      </c>
      <c r="C12" s="49" t="s">
        <v>56</v>
      </c>
      <c r="D12" s="139">
        <v>3.0057999999999998</v>
      </c>
      <c r="E12" s="94">
        <f>Tabel12[[#This Row],[Basistarief HH]]*2</f>
        <v>6.0115999999999996</v>
      </c>
      <c r="F12" s="139">
        <v>4.8536000000000001</v>
      </c>
      <c r="G12" s="139">
        <v>1.9971000000000001</v>
      </c>
    </row>
    <row r="13" spans="1:7" ht="15.75">
      <c r="A13" s="48">
        <v>9880</v>
      </c>
      <c r="B13" s="49" t="s">
        <v>58</v>
      </c>
      <c r="C13" s="49" t="s">
        <v>56</v>
      </c>
      <c r="D13" s="139">
        <v>3.0057999999999998</v>
      </c>
      <c r="E13" s="94">
        <f>Tabel12[[#This Row],[Basistarief HH]]*2</f>
        <v>6.0115999999999996</v>
      </c>
      <c r="F13" s="139">
        <v>4.8536000000000001</v>
      </c>
      <c r="G13" s="139">
        <v>1.9971000000000001</v>
      </c>
    </row>
    <row r="14" spans="1:7" ht="15.75">
      <c r="A14" s="48">
        <v>9880</v>
      </c>
      <c r="B14" s="49" t="s">
        <v>59</v>
      </c>
      <c r="C14" s="49" t="s">
        <v>56</v>
      </c>
      <c r="D14" s="139">
        <v>3.0057999999999998</v>
      </c>
      <c r="E14" s="94">
        <f>Tabel12[[#This Row],[Basistarief HH]]*2</f>
        <v>6.0115999999999996</v>
      </c>
      <c r="F14" s="139">
        <v>4.8536000000000001</v>
      </c>
      <c r="G14" s="139">
        <v>1.9971000000000001</v>
      </c>
    </row>
    <row r="15" spans="1:7" ht="15.75">
      <c r="A15" s="48">
        <v>1790</v>
      </c>
      <c r="B15" s="49" t="s">
        <v>60</v>
      </c>
      <c r="C15" s="49" t="s">
        <v>61</v>
      </c>
      <c r="D15" s="139">
        <v>3.0057999999999998</v>
      </c>
      <c r="E15" s="94">
        <f>Tabel12[[#This Row],[Basistarief HH]]*2</f>
        <v>6.0115999999999996</v>
      </c>
      <c r="F15" s="139">
        <v>4.8536000000000001</v>
      </c>
      <c r="G15" s="139">
        <v>1.9971000000000001</v>
      </c>
    </row>
    <row r="16" spans="1:7" ht="15.75">
      <c r="A16" s="48">
        <v>1790</v>
      </c>
      <c r="B16" s="49" t="s">
        <v>62</v>
      </c>
      <c r="C16" s="49" t="s">
        <v>61</v>
      </c>
      <c r="D16" s="139">
        <v>3.0057999999999998</v>
      </c>
      <c r="E16" s="94">
        <f>Tabel12[[#This Row],[Basistarief HH]]*2</f>
        <v>6.0115999999999996</v>
      </c>
      <c r="F16" s="139">
        <v>4.8536000000000001</v>
      </c>
      <c r="G16" s="139">
        <v>1.9971000000000001</v>
      </c>
    </row>
    <row r="17" spans="1:7" ht="15.75">
      <c r="A17" s="48">
        <v>1790</v>
      </c>
      <c r="B17" s="49" t="s">
        <v>63</v>
      </c>
      <c r="C17" s="49" t="s">
        <v>61</v>
      </c>
      <c r="D17" s="139">
        <v>3.0057999999999998</v>
      </c>
      <c r="E17" s="94">
        <f>Tabel12[[#This Row],[Basistarief HH]]*2</f>
        <v>6.0115999999999996</v>
      </c>
      <c r="F17" s="139">
        <v>4.8536000000000001</v>
      </c>
      <c r="G17" s="139">
        <v>1.9971000000000001</v>
      </c>
    </row>
    <row r="18" spans="1:7" ht="15.75">
      <c r="A18" s="48">
        <v>1730</v>
      </c>
      <c r="B18" s="49" t="s">
        <v>64</v>
      </c>
      <c r="C18" s="49" t="s">
        <v>64</v>
      </c>
      <c r="D18" s="139">
        <v>3.0057999999999998</v>
      </c>
      <c r="E18" s="94">
        <f>Tabel12[[#This Row],[Basistarief HH]]*2</f>
        <v>6.0115999999999996</v>
      </c>
      <c r="F18" s="139">
        <v>4.8536000000000001</v>
      </c>
      <c r="G18" s="139">
        <v>1.9971000000000001</v>
      </c>
    </row>
    <row r="19" spans="1:7" ht="15.75">
      <c r="A19" s="48">
        <v>1730</v>
      </c>
      <c r="B19" s="49" t="s">
        <v>65</v>
      </c>
      <c r="C19" s="49" t="s">
        <v>64</v>
      </c>
      <c r="D19" s="139">
        <v>3.0057999999999998</v>
      </c>
      <c r="E19" s="94">
        <f>Tabel12[[#This Row],[Basistarief HH]]*2</f>
        <v>6.0115999999999996</v>
      </c>
      <c r="F19" s="139">
        <v>4.8536000000000001</v>
      </c>
      <c r="G19" s="139">
        <v>1.9971000000000001</v>
      </c>
    </row>
    <row r="20" spans="1:7" ht="15.75">
      <c r="A20" s="48">
        <v>1730</v>
      </c>
      <c r="B20" s="49" t="s">
        <v>66</v>
      </c>
      <c r="C20" s="49" t="s">
        <v>64</v>
      </c>
      <c r="D20" s="139">
        <v>3.0057999999999998</v>
      </c>
      <c r="E20" s="94">
        <f>Tabel12[[#This Row],[Basistarief HH]]*2</f>
        <v>6.0115999999999996</v>
      </c>
      <c r="F20" s="139">
        <v>4.8536000000000001</v>
      </c>
      <c r="G20" s="139">
        <v>1.9971000000000001</v>
      </c>
    </row>
    <row r="21" spans="1:7" ht="15.75">
      <c r="A21" s="48">
        <v>1730</v>
      </c>
      <c r="B21" s="49" t="s">
        <v>67</v>
      </c>
      <c r="C21" s="49" t="s">
        <v>64</v>
      </c>
      <c r="D21" s="139">
        <v>3.0057999999999998</v>
      </c>
      <c r="E21" s="94">
        <f>Tabel12[[#This Row],[Basistarief HH]]*2</f>
        <v>6.0115999999999996</v>
      </c>
      <c r="F21" s="139">
        <v>4.8536000000000001</v>
      </c>
      <c r="G21" s="139">
        <v>1.9971000000000001</v>
      </c>
    </row>
    <row r="22" spans="1:7" ht="15.75">
      <c r="A22" s="48">
        <v>1731</v>
      </c>
      <c r="B22" s="49" t="s">
        <v>68</v>
      </c>
      <c r="C22" s="49" t="s">
        <v>64</v>
      </c>
      <c r="D22" s="139">
        <v>3.0057999999999998</v>
      </c>
      <c r="E22" s="94">
        <f>Tabel12[[#This Row],[Basistarief HH]]*2</f>
        <v>6.0115999999999996</v>
      </c>
      <c r="F22" s="139">
        <v>4.8536000000000001</v>
      </c>
      <c r="G22" s="139">
        <v>1.9971000000000001</v>
      </c>
    </row>
    <row r="23" spans="1:7" ht="15.75">
      <c r="A23" s="48">
        <v>1731</v>
      </c>
      <c r="B23" s="49" t="s">
        <v>69</v>
      </c>
      <c r="C23" s="49" t="s">
        <v>64</v>
      </c>
      <c r="D23" s="139">
        <v>3.0057999999999998</v>
      </c>
      <c r="E23" s="94">
        <f>Tabel12[[#This Row],[Basistarief HH]]*2</f>
        <v>6.0115999999999996</v>
      </c>
      <c r="F23" s="139">
        <v>4.8536000000000001</v>
      </c>
      <c r="G23" s="139">
        <v>1.9971000000000001</v>
      </c>
    </row>
    <row r="24" spans="1:7" ht="15.75">
      <c r="A24" s="48">
        <v>8730</v>
      </c>
      <c r="B24" s="49" t="s">
        <v>70</v>
      </c>
      <c r="C24" s="49" t="s">
        <v>70</v>
      </c>
      <c r="D24" s="139">
        <v>3.0057999999999998</v>
      </c>
      <c r="E24" s="94">
        <f>Tabel12[[#This Row],[Basistarief HH]]*2</f>
        <v>6.0115999999999996</v>
      </c>
      <c r="F24" s="139">
        <v>4.8536000000000001</v>
      </c>
      <c r="G24" s="139">
        <v>1.9971000000000001</v>
      </c>
    </row>
    <row r="25" spans="1:7" ht="15.75">
      <c r="A25" s="48">
        <v>8730</v>
      </c>
      <c r="B25" s="49" t="s">
        <v>71</v>
      </c>
      <c r="C25" s="49" t="s">
        <v>70</v>
      </c>
      <c r="D25" s="139">
        <v>3.0057999999999998</v>
      </c>
      <c r="E25" s="94">
        <f>Tabel12[[#This Row],[Basistarief HH]]*2</f>
        <v>6.0115999999999996</v>
      </c>
      <c r="F25" s="139">
        <v>4.8536000000000001</v>
      </c>
      <c r="G25" s="139">
        <v>1.9971000000000001</v>
      </c>
    </row>
    <row r="26" spans="1:7" ht="15.75">
      <c r="A26" s="48">
        <v>8730</v>
      </c>
      <c r="B26" s="49" t="s">
        <v>72</v>
      </c>
      <c r="C26" s="49" t="s">
        <v>70</v>
      </c>
      <c r="D26" s="139">
        <v>3.0057999999999998</v>
      </c>
      <c r="E26" s="94">
        <f>Tabel12[[#This Row],[Basistarief HH]]*2</f>
        <v>6.0115999999999996</v>
      </c>
      <c r="F26" s="139">
        <v>4.8536000000000001</v>
      </c>
      <c r="G26" s="139">
        <v>1.9971000000000001</v>
      </c>
    </row>
    <row r="27" spans="1:7" ht="15.75">
      <c r="A27" s="182">
        <v>1650</v>
      </c>
      <c r="B27" s="183" t="s">
        <v>73</v>
      </c>
      <c r="C27" s="183" t="s">
        <v>73</v>
      </c>
      <c r="D27" s="139">
        <v>3.0057999999999998</v>
      </c>
      <c r="E27" s="94">
        <f>Tabel12[[#This Row],[Basistarief HH]]*2</f>
        <v>6.0115999999999996</v>
      </c>
      <c r="F27" s="139">
        <v>4.8536000000000001</v>
      </c>
      <c r="G27" s="139">
        <v>1.9971000000000001</v>
      </c>
    </row>
    <row r="28" spans="1:7" ht="15.75">
      <c r="A28" s="182">
        <v>1652</v>
      </c>
      <c r="B28" s="183" t="s">
        <v>74</v>
      </c>
      <c r="C28" s="183" t="s">
        <v>73</v>
      </c>
      <c r="D28" s="139">
        <v>3.0057999999999998</v>
      </c>
      <c r="E28" s="94">
        <f>Tabel12[[#This Row],[Basistarief HH]]*2</f>
        <v>6.0115999999999996</v>
      </c>
      <c r="F28" s="139">
        <v>4.8536000000000001</v>
      </c>
      <c r="G28" s="139">
        <v>1.9971000000000001</v>
      </c>
    </row>
    <row r="29" spans="1:7" ht="15.75">
      <c r="A29" s="182">
        <v>1653</v>
      </c>
      <c r="B29" s="183" t="s">
        <v>75</v>
      </c>
      <c r="C29" s="183" t="s">
        <v>73</v>
      </c>
      <c r="D29" s="139">
        <v>3.0057999999999998</v>
      </c>
      <c r="E29" s="94">
        <f>Tabel12[[#This Row],[Basistarief HH]]*2</f>
        <v>6.0115999999999996</v>
      </c>
      <c r="F29" s="139">
        <v>4.8536000000000001</v>
      </c>
      <c r="G29" s="139">
        <v>1.9971000000000001</v>
      </c>
    </row>
    <row r="30" spans="1:7" ht="15.75">
      <c r="A30" s="182">
        <v>1654</v>
      </c>
      <c r="B30" s="183" t="s">
        <v>76</v>
      </c>
      <c r="C30" s="183" t="s">
        <v>73</v>
      </c>
      <c r="D30" s="139">
        <v>3.0057999999999998</v>
      </c>
      <c r="E30" s="94">
        <f>Tabel12[[#This Row],[Basistarief HH]]*2</f>
        <v>6.0115999999999996</v>
      </c>
      <c r="F30" s="139">
        <v>4.8536000000000001</v>
      </c>
      <c r="G30" s="139">
        <v>1.9971000000000001</v>
      </c>
    </row>
    <row r="31" spans="1:7" ht="15.75">
      <c r="A31" s="182">
        <v>1651</v>
      </c>
      <c r="B31" s="183" t="s">
        <v>77</v>
      </c>
      <c r="C31" s="183" t="s">
        <v>73</v>
      </c>
      <c r="D31" s="139">
        <v>3.0057999999999998</v>
      </c>
      <c r="E31" s="94">
        <f>Tabel12[[#This Row],[Basistarief HH]]*2</f>
        <v>6.0115999999999996</v>
      </c>
      <c r="F31" s="139">
        <v>4.8536000000000001</v>
      </c>
      <c r="G31" s="139">
        <v>1.9971000000000001</v>
      </c>
    </row>
    <row r="32" spans="1:7" ht="15.75">
      <c r="A32" s="48">
        <v>8370</v>
      </c>
      <c r="B32" s="49" t="s">
        <v>78</v>
      </c>
      <c r="C32" s="49" t="s">
        <v>78</v>
      </c>
      <c r="D32" s="139">
        <v>3.0057999999999998</v>
      </c>
      <c r="E32" s="94">
        <f>Tabel12[[#This Row],[Basistarief HH]]*2</f>
        <v>6.0115999999999996</v>
      </c>
      <c r="F32" s="139">
        <v>4.8536000000000001</v>
      </c>
      <c r="G32" s="139">
        <v>1.9971000000000001</v>
      </c>
    </row>
    <row r="33" spans="1:7" ht="15.75">
      <c r="A33" s="48">
        <v>8370</v>
      </c>
      <c r="B33" s="49" t="s">
        <v>79</v>
      </c>
      <c r="C33" s="49" t="s">
        <v>78</v>
      </c>
      <c r="D33" s="139">
        <v>3.0057999999999998</v>
      </c>
      <c r="E33" s="94">
        <f>Tabel12[[#This Row],[Basistarief HH]]*2</f>
        <v>6.0115999999999996</v>
      </c>
      <c r="F33" s="139">
        <v>4.8536000000000001</v>
      </c>
      <c r="G33" s="139">
        <v>1.9971000000000001</v>
      </c>
    </row>
    <row r="34" spans="1:7" ht="15.75">
      <c r="A34" s="48">
        <v>9660</v>
      </c>
      <c r="B34" s="49" t="s">
        <v>80</v>
      </c>
      <c r="C34" s="49" t="s">
        <v>81</v>
      </c>
      <c r="D34" s="139">
        <v>3.0057999999999998</v>
      </c>
      <c r="E34" s="94">
        <f>Tabel12[[#This Row],[Basistarief HH]]*2</f>
        <v>6.0115999999999996</v>
      </c>
      <c r="F34" s="139">
        <v>4.8536000000000001</v>
      </c>
      <c r="G34" s="139">
        <v>1.9971000000000001</v>
      </c>
    </row>
    <row r="35" spans="1:7" ht="15.75">
      <c r="A35" s="48">
        <v>9660</v>
      </c>
      <c r="B35" s="49" t="s">
        <v>82</v>
      </c>
      <c r="C35" s="49" t="s">
        <v>81</v>
      </c>
      <c r="D35" s="139">
        <v>3.0057999999999998</v>
      </c>
      <c r="E35" s="94">
        <f>Tabel12[[#This Row],[Basistarief HH]]*2</f>
        <v>6.0115999999999996</v>
      </c>
      <c r="F35" s="139">
        <v>4.8536000000000001</v>
      </c>
      <c r="G35" s="139">
        <v>1.9971000000000001</v>
      </c>
    </row>
    <row r="36" spans="1:7" ht="15.75">
      <c r="A36" s="48">
        <v>9660</v>
      </c>
      <c r="B36" s="49" t="s">
        <v>83</v>
      </c>
      <c r="C36" s="49" t="s">
        <v>81</v>
      </c>
      <c r="D36" s="139">
        <v>3.0057999999999998</v>
      </c>
      <c r="E36" s="94">
        <f>Tabel12[[#This Row],[Basistarief HH]]*2</f>
        <v>6.0115999999999996</v>
      </c>
      <c r="F36" s="139">
        <v>4.8536000000000001</v>
      </c>
      <c r="G36" s="139">
        <v>1.9971000000000001</v>
      </c>
    </row>
    <row r="37" spans="1:7" ht="15.75">
      <c r="A37" s="48">
        <v>9660</v>
      </c>
      <c r="B37" s="49" t="s">
        <v>84</v>
      </c>
      <c r="C37" s="49" t="s">
        <v>81</v>
      </c>
      <c r="D37" s="139">
        <v>3.0057999999999998</v>
      </c>
      <c r="E37" s="94">
        <f>Tabel12[[#This Row],[Basistarief HH]]*2</f>
        <v>6.0115999999999996</v>
      </c>
      <c r="F37" s="139">
        <v>4.8536000000000001</v>
      </c>
      <c r="G37" s="139">
        <v>1.9971000000000001</v>
      </c>
    </row>
    <row r="38" spans="1:7" ht="15.75">
      <c r="A38" s="48">
        <v>9660</v>
      </c>
      <c r="B38" s="49" t="s">
        <v>85</v>
      </c>
      <c r="C38" s="49" t="s">
        <v>81</v>
      </c>
      <c r="D38" s="139">
        <v>3.0057999999999998</v>
      </c>
      <c r="E38" s="94">
        <f>Tabel12[[#This Row],[Basistarief HH]]*2</f>
        <v>6.0115999999999996</v>
      </c>
      <c r="F38" s="139">
        <v>4.8536000000000001</v>
      </c>
      <c r="G38" s="139">
        <v>1.9971000000000001</v>
      </c>
    </row>
    <row r="39" spans="1:7" ht="15.75">
      <c r="A39" s="48">
        <v>9661</v>
      </c>
      <c r="B39" s="49" t="s">
        <v>86</v>
      </c>
      <c r="C39" s="49" t="s">
        <v>81</v>
      </c>
      <c r="D39" s="139">
        <v>3.0057999999999998</v>
      </c>
      <c r="E39" s="94">
        <f>Tabel12[[#This Row],[Basistarief HH]]*2</f>
        <v>6.0115999999999996</v>
      </c>
      <c r="F39" s="139">
        <v>4.8536000000000001</v>
      </c>
      <c r="G39" s="139">
        <v>1.9971000000000001</v>
      </c>
    </row>
    <row r="40" spans="1:7" ht="15.75">
      <c r="A40" s="48">
        <v>9660</v>
      </c>
      <c r="B40" s="49" t="s">
        <v>87</v>
      </c>
      <c r="C40" s="49" t="s">
        <v>81</v>
      </c>
      <c r="D40" s="139">
        <v>3.0057999999999998</v>
      </c>
      <c r="E40" s="94">
        <f>Tabel12[[#This Row],[Basistarief HH]]*2</f>
        <v>6.0115999999999996</v>
      </c>
      <c r="F40" s="139">
        <v>4.8536000000000001</v>
      </c>
      <c r="G40" s="139">
        <v>1.9971000000000001</v>
      </c>
    </row>
    <row r="41" spans="1:7" ht="15.75">
      <c r="A41" s="48">
        <v>9660</v>
      </c>
      <c r="B41" s="49" t="s">
        <v>88</v>
      </c>
      <c r="C41" s="49" t="s">
        <v>81</v>
      </c>
      <c r="D41" s="139">
        <v>3.0057999999999998</v>
      </c>
      <c r="E41" s="94">
        <f>Tabel12[[#This Row],[Basistarief HH]]*2</f>
        <v>6.0115999999999996</v>
      </c>
      <c r="F41" s="139">
        <v>4.8536000000000001</v>
      </c>
      <c r="G41" s="139">
        <v>1.9971000000000001</v>
      </c>
    </row>
    <row r="42" spans="1:7" ht="15.75">
      <c r="A42" s="48">
        <v>8310</v>
      </c>
      <c r="B42" s="49" t="s">
        <v>89</v>
      </c>
      <c r="C42" s="49" t="s">
        <v>90</v>
      </c>
      <c r="D42" s="139">
        <v>3.0057999999999998</v>
      </c>
      <c r="E42" s="94">
        <f>Tabel12[[#This Row],[Basistarief HH]]*2</f>
        <v>6.0115999999999996</v>
      </c>
      <c r="F42" s="139">
        <v>4.8536000000000001</v>
      </c>
      <c r="G42" s="139">
        <v>1.9971000000000001</v>
      </c>
    </row>
    <row r="43" spans="1:7" ht="15.75">
      <c r="A43" s="48">
        <v>8000</v>
      </c>
      <c r="B43" s="49" t="s">
        <v>90</v>
      </c>
      <c r="C43" s="49" t="s">
        <v>90</v>
      </c>
      <c r="D43" s="139">
        <v>3.0057999999999998</v>
      </c>
      <c r="E43" s="94">
        <f>Tabel12[[#This Row],[Basistarief HH]]*2</f>
        <v>6.0115999999999996</v>
      </c>
      <c r="F43" s="139">
        <v>4.8536000000000001</v>
      </c>
      <c r="G43" s="139">
        <v>1.9971000000000001</v>
      </c>
    </row>
    <row r="44" spans="1:7" ht="15.75">
      <c r="A44" s="48">
        <v>8380</v>
      </c>
      <c r="B44" s="49" t="s">
        <v>91</v>
      </c>
      <c r="C44" s="49" t="s">
        <v>90</v>
      </c>
      <c r="D44" s="139">
        <v>3.0057999999999998</v>
      </c>
      <c r="E44" s="94">
        <f>Tabel12[[#This Row],[Basistarief HH]]*2</f>
        <v>6.0115999999999996</v>
      </c>
      <c r="F44" s="139">
        <v>4.8536000000000001</v>
      </c>
      <c r="G44" s="139">
        <v>1.9971000000000001</v>
      </c>
    </row>
    <row r="45" spans="1:7" ht="15.75">
      <c r="A45" s="48">
        <v>8000</v>
      </c>
      <c r="B45" s="49" t="s">
        <v>92</v>
      </c>
      <c r="C45" s="49" t="s">
        <v>90</v>
      </c>
      <c r="D45" s="139">
        <v>3.0057999999999998</v>
      </c>
      <c r="E45" s="94">
        <f>Tabel12[[#This Row],[Basistarief HH]]*2</f>
        <v>6.0115999999999996</v>
      </c>
      <c r="F45" s="139">
        <v>4.8536000000000001</v>
      </c>
      <c r="G45" s="139">
        <v>1.9971000000000001</v>
      </c>
    </row>
    <row r="46" spans="1:7" ht="15.75">
      <c r="A46" s="48">
        <v>8200</v>
      </c>
      <c r="B46" s="49" t="s">
        <v>93</v>
      </c>
      <c r="C46" s="49" t="s">
        <v>90</v>
      </c>
      <c r="D46" s="139">
        <v>3.0057999999999998</v>
      </c>
      <c r="E46" s="94">
        <f>Tabel12[[#This Row],[Basistarief HH]]*2</f>
        <v>6.0115999999999996</v>
      </c>
      <c r="F46" s="139">
        <v>4.8536000000000001</v>
      </c>
      <c r="G46" s="139">
        <v>1.9971000000000001</v>
      </c>
    </row>
    <row r="47" spans="1:7" ht="15.75">
      <c r="A47" s="48">
        <v>8310</v>
      </c>
      <c r="B47" s="49" t="s">
        <v>94</v>
      </c>
      <c r="C47" s="49" t="s">
        <v>90</v>
      </c>
      <c r="D47" s="139">
        <v>3.0057999999999998</v>
      </c>
      <c r="E47" s="94">
        <f>Tabel12[[#This Row],[Basistarief HH]]*2</f>
        <v>6.0115999999999996</v>
      </c>
      <c r="F47" s="139">
        <v>4.8536000000000001</v>
      </c>
      <c r="G47" s="139">
        <v>1.9971000000000001</v>
      </c>
    </row>
    <row r="48" spans="1:7" ht="15.75">
      <c r="A48" s="48">
        <v>8200</v>
      </c>
      <c r="B48" s="49" t="s">
        <v>95</v>
      </c>
      <c r="C48" s="49" t="s">
        <v>90</v>
      </c>
      <c r="D48" s="139">
        <v>3.0057999999999998</v>
      </c>
      <c r="E48" s="94">
        <f>Tabel12[[#This Row],[Basistarief HH]]*2</f>
        <v>6.0115999999999996</v>
      </c>
      <c r="F48" s="139">
        <v>4.8536000000000001</v>
      </c>
      <c r="G48" s="139">
        <v>1.9971000000000001</v>
      </c>
    </row>
    <row r="49" spans="1:7" ht="15.75">
      <c r="A49" s="48">
        <v>8000</v>
      </c>
      <c r="B49" s="49" t="s">
        <v>96</v>
      </c>
      <c r="C49" s="49" t="s">
        <v>90</v>
      </c>
      <c r="D49" s="139">
        <v>3.0057999999999998</v>
      </c>
      <c r="E49" s="94">
        <f>Tabel12[[#This Row],[Basistarief HH]]*2</f>
        <v>6.0115999999999996</v>
      </c>
      <c r="F49" s="139">
        <v>4.8536000000000001</v>
      </c>
      <c r="G49" s="139">
        <v>1.9971000000000001</v>
      </c>
    </row>
    <row r="50" spans="1:7" ht="15.75">
      <c r="A50" s="48">
        <v>8380</v>
      </c>
      <c r="B50" s="49" t="s">
        <v>97</v>
      </c>
      <c r="C50" s="49" t="s">
        <v>90</v>
      </c>
      <c r="D50" s="139">
        <v>3.0057999999999998</v>
      </c>
      <c r="E50" s="94">
        <f>Tabel12[[#This Row],[Basistarief HH]]*2</f>
        <v>6.0115999999999996</v>
      </c>
      <c r="F50" s="139">
        <v>4.8536000000000001</v>
      </c>
      <c r="G50" s="139">
        <v>1.9971000000000001</v>
      </c>
    </row>
    <row r="51" spans="1:7" ht="15.75">
      <c r="A51" s="48">
        <v>9255</v>
      </c>
      <c r="B51" s="49" t="s">
        <v>98</v>
      </c>
      <c r="C51" s="49" t="s">
        <v>98</v>
      </c>
      <c r="D51" s="139">
        <v>3.0057999999999998</v>
      </c>
      <c r="E51" s="94">
        <f>Tabel12[[#This Row],[Basistarief HH]]*2</f>
        <v>6.0115999999999996</v>
      </c>
      <c r="F51" s="139">
        <v>4.8536000000000001</v>
      </c>
      <c r="G51" s="139">
        <v>1.9971000000000001</v>
      </c>
    </row>
    <row r="52" spans="1:7" ht="15.75">
      <c r="A52" s="48">
        <v>9255</v>
      </c>
      <c r="B52" s="49" t="s">
        <v>99</v>
      </c>
      <c r="C52" s="49" t="s">
        <v>98</v>
      </c>
      <c r="D52" s="139">
        <v>3.0057999999999998</v>
      </c>
      <c r="E52" s="94">
        <f>Tabel12[[#This Row],[Basistarief HH]]*2</f>
        <v>6.0115999999999996</v>
      </c>
      <c r="F52" s="139">
        <v>4.8536000000000001</v>
      </c>
      <c r="G52" s="139">
        <v>1.9971000000000001</v>
      </c>
    </row>
    <row r="53" spans="1:7" ht="15.75">
      <c r="A53" s="48">
        <v>8340</v>
      </c>
      <c r="B53" s="49" t="s">
        <v>100</v>
      </c>
      <c r="C53" s="49" t="s">
        <v>100</v>
      </c>
      <c r="D53" s="139">
        <v>3.0057999999999998</v>
      </c>
      <c r="E53" s="94">
        <f>Tabel12[[#This Row],[Basistarief HH]]*2</f>
        <v>6.0115999999999996</v>
      </c>
      <c r="F53" s="139">
        <v>4.8536000000000001</v>
      </c>
      <c r="G53" s="139">
        <v>1.9971000000000001</v>
      </c>
    </row>
    <row r="54" spans="1:7" ht="15.75">
      <c r="A54" s="48">
        <v>8340</v>
      </c>
      <c r="B54" s="49" t="s">
        <v>101</v>
      </c>
      <c r="C54" s="49" t="s">
        <v>100</v>
      </c>
      <c r="D54" s="139">
        <v>3.0057999999999998</v>
      </c>
      <c r="E54" s="94">
        <f>Tabel12[[#This Row],[Basistarief HH]]*2</f>
        <v>6.0115999999999996</v>
      </c>
      <c r="F54" s="139">
        <v>4.8536000000000001</v>
      </c>
      <c r="G54" s="139">
        <v>1.9971000000000001</v>
      </c>
    </row>
    <row r="55" spans="1:7" ht="15.75">
      <c r="A55" s="48">
        <v>8340</v>
      </c>
      <c r="B55" s="49" t="s">
        <v>102</v>
      </c>
      <c r="C55" s="49" t="s">
        <v>100</v>
      </c>
      <c r="D55" s="139">
        <v>3.0057999999999998</v>
      </c>
      <c r="E55" s="94">
        <f>Tabel12[[#This Row],[Basistarief HH]]*2</f>
        <v>6.0115999999999996</v>
      </c>
      <c r="F55" s="139">
        <v>4.8536000000000001</v>
      </c>
      <c r="G55" s="139">
        <v>1.9971000000000001</v>
      </c>
    </row>
    <row r="56" spans="1:7" ht="15.75">
      <c r="A56" s="48">
        <v>8340</v>
      </c>
      <c r="B56" s="49" t="s">
        <v>103</v>
      </c>
      <c r="C56" s="49" t="s">
        <v>100</v>
      </c>
      <c r="D56" s="139">
        <v>3.0057999999999998</v>
      </c>
      <c r="E56" s="94">
        <f>Tabel12[[#This Row],[Basistarief HH]]*2</f>
        <v>6.0115999999999996</v>
      </c>
      <c r="F56" s="139">
        <v>4.8536000000000001</v>
      </c>
      <c r="G56" s="139">
        <v>1.9971000000000001</v>
      </c>
    </row>
    <row r="57" spans="1:7" ht="15.75">
      <c r="A57" s="48">
        <v>8340</v>
      </c>
      <c r="B57" s="49" t="s">
        <v>104</v>
      </c>
      <c r="C57" s="49" t="s">
        <v>100</v>
      </c>
      <c r="D57" s="139">
        <v>3.0057999999999998</v>
      </c>
      <c r="E57" s="94">
        <f>Tabel12[[#This Row],[Basistarief HH]]*2</f>
        <v>6.0115999999999996</v>
      </c>
      <c r="F57" s="139">
        <v>4.8536000000000001</v>
      </c>
      <c r="G57" s="139">
        <v>1.9971000000000001</v>
      </c>
    </row>
    <row r="58" spans="1:7" ht="15.75">
      <c r="A58" s="48">
        <v>8420</v>
      </c>
      <c r="B58" s="49" t="s">
        <v>105</v>
      </c>
      <c r="C58" s="49" t="s">
        <v>106</v>
      </c>
      <c r="D58" s="139">
        <v>3.0057999999999998</v>
      </c>
      <c r="E58" s="94">
        <f>Tabel12[[#This Row],[Basistarief HH]]*2</f>
        <v>6.0115999999999996</v>
      </c>
      <c r="F58" s="139">
        <v>4.8536000000000001</v>
      </c>
      <c r="G58" s="139">
        <v>1.9971000000000001</v>
      </c>
    </row>
    <row r="59" spans="1:7" ht="15.75">
      <c r="A59" s="48">
        <v>8421</v>
      </c>
      <c r="B59" s="49" t="s">
        <v>107</v>
      </c>
      <c r="C59" s="49" t="s">
        <v>106</v>
      </c>
      <c r="D59" s="139">
        <v>3.0057999999999998</v>
      </c>
      <c r="E59" s="94">
        <f>Tabel12[[#This Row],[Basistarief HH]]*2</f>
        <v>6.0115999999999996</v>
      </c>
      <c r="F59" s="139">
        <v>4.8536000000000001</v>
      </c>
      <c r="G59" s="139">
        <v>1.9971000000000001</v>
      </c>
    </row>
    <row r="60" spans="1:7" ht="15.75">
      <c r="A60" s="48">
        <v>8420</v>
      </c>
      <c r="B60" s="49" t="s">
        <v>108</v>
      </c>
      <c r="C60" s="49" t="s">
        <v>106</v>
      </c>
      <c r="D60" s="139">
        <v>3.0057999999999998</v>
      </c>
      <c r="E60" s="94">
        <f>Tabel12[[#This Row],[Basistarief HH]]*2</f>
        <v>6.0115999999999996</v>
      </c>
      <c r="F60" s="139">
        <v>4.8536000000000001</v>
      </c>
      <c r="G60" s="139">
        <v>1.9971000000000001</v>
      </c>
    </row>
    <row r="61" spans="1:7" ht="15.75">
      <c r="A61" s="48">
        <v>9800</v>
      </c>
      <c r="B61" s="49" t="s">
        <v>109</v>
      </c>
      <c r="C61" s="49" t="s">
        <v>110</v>
      </c>
      <c r="D61" s="139">
        <v>3.0057999999999998</v>
      </c>
      <c r="E61" s="94">
        <f>Tabel12[[#This Row],[Basistarief HH]]*2</f>
        <v>6.0115999999999996</v>
      </c>
      <c r="F61" s="139">
        <v>4.8536000000000001</v>
      </c>
      <c r="G61" s="139">
        <v>1.9971000000000001</v>
      </c>
    </row>
    <row r="62" spans="1:7" ht="15.75">
      <c r="A62" s="48">
        <v>9800</v>
      </c>
      <c r="B62" s="49" t="s">
        <v>111</v>
      </c>
      <c r="C62" s="49" t="s">
        <v>110</v>
      </c>
      <c r="D62" s="139">
        <v>3.0057999999999998</v>
      </c>
      <c r="E62" s="94">
        <f>Tabel12[[#This Row],[Basistarief HH]]*2</f>
        <v>6.0115999999999996</v>
      </c>
      <c r="F62" s="139">
        <v>4.8536000000000001</v>
      </c>
      <c r="G62" s="139">
        <v>1.9971000000000001</v>
      </c>
    </row>
    <row r="63" spans="1:7" ht="15.75">
      <c r="A63" s="48">
        <v>9800</v>
      </c>
      <c r="B63" s="49" t="s">
        <v>110</v>
      </c>
      <c r="C63" s="49" t="s">
        <v>110</v>
      </c>
      <c r="D63" s="139">
        <v>3.0057999999999998</v>
      </c>
      <c r="E63" s="94">
        <f>Tabel12[[#This Row],[Basistarief HH]]*2</f>
        <v>6.0115999999999996</v>
      </c>
      <c r="F63" s="139">
        <v>4.8536000000000001</v>
      </c>
      <c r="G63" s="139">
        <v>1.9971000000000001</v>
      </c>
    </row>
    <row r="64" spans="1:7" ht="15.75">
      <c r="A64" s="48">
        <v>9800</v>
      </c>
      <c r="B64" s="49" t="s">
        <v>112</v>
      </c>
      <c r="C64" s="49" t="s">
        <v>110</v>
      </c>
      <c r="D64" s="139">
        <v>3.0057999999999998</v>
      </c>
      <c r="E64" s="94">
        <f>Tabel12[[#This Row],[Basistarief HH]]*2</f>
        <v>6.0115999999999996</v>
      </c>
      <c r="F64" s="139">
        <v>4.8536000000000001</v>
      </c>
      <c r="G64" s="139">
        <v>1.9971000000000001</v>
      </c>
    </row>
    <row r="65" spans="1:7" ht="15.75">
      <c r="A65" s="48">
        <v>9800</v>
      </c>
      <c r="B65" s="49" t="s">
        <v>113</v>
      </c>
      <c r="C65" s="49" t="s">
        <v>110</v>
      </c>
      <c r="D65" s="139">
        <v>3.0057999999999998</v>
      </c>
      <c r="E65" s="94">
        <f>Tabel12[[#This Row],[Basistarief HH]]*2</f>
        <v>6.0115999999999996</v>
      </c>
      <c r="F65" s="139">
        <v>4.8536000000000001</v>
      </c>
      <c r="G65" s="139">
        <v>1.9971000000000001</v>
      </c>
    </row>
    <row r="66" spans="1:7" ht="15.75">
      <c r="A66" s="48">
        <v>9800</v>
      </c>
      <c r="B66" s="49" t="s">
        <v>114</v>
      </c>
      <c r="C66" s="49" t="s">
        <v>110</v>
      </c>
      <c r="D66" s="139">
        <v>3.0057999999999998</v>
      </c>
      <c r="E66" s="94">
        <f>Tabel12[[#This Row],[Basistarief HH]]*2</f>
        <v>6.0115999999999996</v>
      </c>
      <c r="F66" s="139">
        <v>4.8536000000000001</v>
      </c>
      <c r="G66" s="139">
        <v>1.9971000000000001</v>
      </c>
    </row>
    <row r="67" spans="1:7" ht="15.75">
      <c r="A67" s="48">
        <v>9800</v>
      </c>
      <c r="B67" s="49" t="s">
        <v>115</v>
      </c>
      <c r="C67" s="49" t="s">
        <v>110</v>
      </c>
      <c r="D67" s="139">
        <v>3.0057999999999998</v>
      </c>
      <c r="E67" s="94">
        <f>Tabel12[[#This Row],[Basistarief HH]]*2</f>
        <v>6.0115999999999996</v>
      </c>
      <c r="F67" s="139">
        <v>4.8536000000000001</v>
      </c>
      <c r="G67" s="139">
        <v>1.9971000000000001</v>
      </c>
    </row>
    <row r="68" spans="1:7" ht="15.75">
      <c r="A68" s="48">
        <v>9800</v>
      </c>
      <c r="B68" s="49" t="s">
        <v>116</v>
      </c>
      <c r="C68" s="49" t="s">
        <v>110</v>
      </c>
      <c r="D68" s="139">
        <v>3.0057999999999998</v>
      </c>
      <c r="E68" s="94">
        <f>Tabel12[[#This Row],[Basistarief HH]]*2</f>
        <v>6.0115999999999996</v>
      </c>
      <c r="F68" s="139">
        <v>4.8536000000000001</v>
      </c>
      <c r="G68" s="139">
        <v>1.9971000000000001</v>
      </c>
    </row>
    <row r="69" spans="1:7" ht="15.75">
      <c r="A69" s="48">
        <v>9800</v>
      </c>
      <c r="B69" s="49" t="s">
        <v>117</v>
      </c>
      <c r="C69" s="49" t="s">
        <v>110</v>
      </c>
      <c r="D69" s="139">
        <v>3.0057999999999998</v>
      </c>
      <c r="E69" s="94">
        <f>Tabel12[[#This Row],[Basistarief HH]]*2</f>
        <v>6.0115999999999996</v>
      </c>
      <c r="F69" s="139">
        <v>4.8536000000000001</v>
      </c>
      <c r="G69" s="139">
        <v>1.9971000000000001</v>
      </c>
    </row>
    <row r="70" spans="1:7" ht="15.75">
      <c r="A70" s="48">
        <v>9800</v>
      </c>
      <c r="B70" s="49" t="s">
        <v>118</v>
      </c>
      <c r="C70" s="49" t="s">
        <v>110</v>
      </c>
      <c r="D70" s="139">
        <v>3.0057999999999998</v>
      </c>
      <c r="E70" s="94">
        <f>Tabel12[[#This Row],[Basistarief HH]]*2</f>
        <v>6.0115999999999996</v>
      </c>
      <c r="F70" s="139">
        <v>4.8536000000000001</v>
      </c>
      <c r="G70" s="139">
        <v>1.9971000000000001</v>
      </c>
    </row>
    <row r="71" spans="1:7" ht="15.75">
      <c r="A71" s="48">
        <v>9800</v>
      </c>
      <c r="B71" s="49" t="s">
        <v>119</v>
      </c>
      <c r="C71" s="49" t="s">
        <v>110</v>
      </c>
      <c r="D71" s="139">
        <v>3.0057999999999998</v>
      </c>
      <c r="E71" s="94">
        <f>Tabel12[[#This Row],[Basistarief HH]]*2</f>
        <v>6.0115999999999996</v>
      </c>
      <c r="F71" s="139">
        <v>4.8536000000000001</v>
      </c>
      <c r="G71" s="139">
        <v>1.9971000000000001</v>
      </c>
    </row>
    <row r="72" spans="1:7" ht="15.75">
      <c r="A72" s="48">
        <v>9200</v>
      </c>
      <c r="B72" s="49" t="s">
        <v>120</v>
      </c>
      <c r="C72" s="49" t="s">
        <v>121</v>
      </c>
      <c r="D72" s="139">
        <v>3.0057999999999998</v>
      </c>
      <c r="E72" s="94">
        <f>Tabel12[[#This Row],[Basistarief HH]]*2</f>
        <v>6.0115999999999996</v>
      </c>
      <c r="F72" s="139">
        <v>4.8536000000000001</v>
      </c>
      <c r="G72" s="139">
        <v>1.9971000000000001</v>
      </c>
    </row>
    <row r="73" spans="1:7" ht="15.75">
      <c r="A73" s="48">
        <v>9200</v>
      </c>
      <c r="B73" s="49" t="s">
        <v>122</v>
      </c>
      <c r="C73" s="49" t="s">
        <v>121</v>
      </c>
      <c r="D73" s="139">
        <v>3.0057999999999998</v>
      </c>
      <c r="E73" s="94">
        <f>Tabel12[[#This Row],[Basistarief HH]]*2</f>
        <v>6.0115999999999996</v>
      </c>
      <c r="F73" s="139">
        <v>4.8536000000000001</v>
      </c>
      <c r="G73" s="139">
        <v>1.9971000000000001</v>
      </c>
    </row>
    <row r="74" spans="1:7" ht="15.75">
      <c r="A74" s="48">
        <v>9200</v>
      </c>
      <c r="B74" s="49" t="s">
        <v>121</v>
      </c>
      <c r="C74" s="49" t="s">
        <v>121</v>
      </c>
      <c r="D74" s="139">
        <v>3.0057999999999998</v>
      </c>
      <c r="E74" s="94">
        <f>Tabel12[[#This Row],[Basistarief HH]]*2</f>
        <v>6.0115999999999996</v>
      </c>
      <c r="F74" s="139">
        <v>4.8536000000000001</v>
      </c>
      <c r="G74" s="139">
        <v>1.9971000000000001</v>
      </c>
    </row>
    <row r="75" spans="1:7" ht="15.75">
      <c r="A75" s="48">
        <v>9200</v>
      </c>
      <c r="B75" s="49" t="s">
        <v>123</v>
      </c>
      <c r="C75" s="49" t="s">
        <v>121</v>
      </c>
      <c r="D75" s="139">
        <v>3.0057999999999998</v>
      </c>
      <c r="E75" s="94">
        <f>Tabel12[[#This Row],[Basistarief HH]]*2</f>
        <v>6.0115999999999996</v>
      </c>
      <c r="F75" s="139">
        <v>4.8536000000000001</v>
      </c>
      <c r="G75" s="139">
        <v>1.9971000000000001</v>
      </c>
    </row>
    <row r="76" spans="1:7" ht="15.75">
      <c r="A76" s="48">
        <v>9200</v>
      </c>
      <c r="B76" s="49" t="s">
        <v>124</v>
      </c>
      <c r="C76" s="49" t="s">
        <v>121</v>
      </c>
      <c r="D76" s="139">
        <v>3.0057999999999998</v>
      </c>
      <c r="E76" s="94">
        <f>Tabel12[[#This Row],[Basistarief HH]]*2</f>
        <v>6.0115999999999996</v>
      </c>
      <c r="F76" s="139">
        <v>4.8536000000000001</v>
      </c>
      <c r="G76" s="139">
        <v>1.9971000000000001</v>
      </c>
    </row>
    <row r="77" spans="1:7" ht="15.75">
      <c r="A77" s="48">
        <v>9200</v>
      </c>
      <c r="B77" s="49" t="s">
        <v>125</v>
      </c>
      <c r="C77" s="49" t="s">
        <v>121</v>
      </c>
      <c r="D77" s="139">
        <v>3.0057999999999998</v>
      </c>
      <c r="E77" s="94">
        <f>Tabel12[[#This Row],[Basistarief HH]]*2</f>
        <v>6.0115999999999996</v>
      </c>
      <c r="F77" s="139">
        <v>4.8536000000000001</v>
      </c>
      <c r="G77" s="139">
        <v>1.9971000000000001</v>
      </c>
    </row>
    <row r="78" spans="1:7" ht="15.75">
      <c r="A78" s="48">
        <v>9200</v>
      </c>
      <c r="B78" s="49" t="s">
        <v>126</v>
      </c>
      <c r="C78" s="49" t="s">
        <v>121</v>
      </c>
      <c r="D78" s="139">
        <v>3.0057999999999998</v>
      </c>
      <c r="E78" s="94">
        <f>Tabel12[[#This Row],[Basistarief HH]]*2</f>
        <v>6.0115999999999996</v>
      </c>
      <c r="F78" s="139">
        <v>4.8536000000000001</v>
      </c>
      <c r="G78" s="139">
        <v>1.9971000000000001</v>
      </c>
    </row>
    <row r="79" spans="1:7" ht="15.75">
      <c r="A79" s="48">
        <v>9200</v>
      </c>
      <c r="B79" s="49" t="s">
        <v>127</v>
      </c>
      <c r="C79" s="49" t="s">
        <v>121</v>
      </c>
      <c r="D79" s="139">
        <v>3.0057999999999998</v>
      </c>
      <c r="E79" s="94">
        <f>Tabel12[[#This Row],[Basistarief HH]]*2</f>
        <v>6.0115999999999996</v>
      </c>
      <c r="F79" s="139">
        <v>4.8536000000000001</v>
      </c>
      <c r="G79" s="139">
        <v>1.9971000000000001</v>
      </c>
    </row>
    <row r="80" spans="1:7" ht="15.75">
      <c r="A80" s="48">
        <v>9840</v>
      </c>
      <c r="B80" s="49" t="s">
        <v>128</v>
      </c>
      <c r="C80" s="49" t="s">
        <v>128</v>
      </c>
      <c r="D80" s="139">
        <v>3.0057999999999998</v>
      </c>
      <c r="E80" s="94">
        <f>Tabel12[[#This Row],[Basistarief HH]]*2</f>
        <v>6.0115999999999996</v>
      </c>
      <c r="F80" s="139">
        <v>4.8536000000000001</v>
      </c>
      <c r="G80" s="139">
        <v>1.9971000000000001</v>
      </c>
    </row>
    <row r="81" spans="1:7" ht="15.75">
      <c r="A81" s="48">
        <v>9840</v>
      </c>
      <c r="B81" s="49" t="s">
        <v>129</v>
      </c>
      <c r="C81" s="49" t="s">
        <v>128</v>
      </c>
      <c r="D81" s="139">
        <v>3.0057999999999998</v>
      </c>
      <c r="E81" s="94">
        <f>Tabel12[[#This Row],[Basistarief HH]]*2</f>
        <v>6.0115999999999996</v>
      </c>
      <c r="F81" s="139">
        <v>4.8536000000000001</v>
      </c>
      <c r="G81" s="139">
        <v>1.9971000000000001</v>
      </c>
    </row>
    <row r="82" spans="1:7" ht="15.75">
      <c r="A82" s="48">
        <v>9070</v>
      </c>
      <c r="B82" s="49" t="s">
        <v>130</v>
      </c>
      <c r="C82" s="49" t="s">
        <v>130</v>
      </c>
      <c r="D82" s="139">
        <v>3.0057999999999998</v>
      </c>
      <c r="E82" s="94">
        <f>Tabel12[[#This Row],[Basistarief HH]]*2</f>
        <v>6.0115999999999996</v>
      </c>
      <c r="F82" s="139">
        <v>4.8536000000000001</v>
      </c>
      <c r="G82" s="139">
        <v>1.9971000000000001</v>
      </c>
    </row>
    <row r="83" spans="1:7" ht="15.75">
      <c r="A83" s="48">
        <v>9070</v>
      </c>
      <c r="B83" s="49" t="s">
        <v>131</v>
      </c>
      <c r="C83" s="49" t="s">
        <v>130</v>
      </c>
      <c r="D83" s="139">
        <v>3.0057999999999998</v>
      </c>
      <c r="E83" s="94">
        <f>Tabel12[[#This Row],[Basistarief HH]]*2</f>
        <v>6.0115999999999996</v>
      </c>
      <c r="F83" s="139">
        <v>4.8536000000000001</v>
      </c>
      <c r="G83" s="139">
        <v>1.9971000000000001</v>
      </c>
    </row>
    <row r="84" spans="1:7" ht="15.75">
      <c r="A84" s="48">
        <v>1700</v>
      </c>
      <c r="B84" s="49" t="s">
        <v>132</v>
      </c>
      <c r="C84" s="49" t="s">
        <v>132</v>
      </c>
      <c r="D84" s="139">
        <v>3.0057999999999998</v>
      </c>
      <c r="E84" s="94">
        <f>Tabel12[[#This Row],[Basistarief HH]]*2</f>
        <v>6.0115999999999996</v>
      </c>
      <c r="F84" s="139">
        <v>4.8536000000000001</v>
      </c>
      <c r="G84" s="139">
        <v>1.9971000000000001</v>
      </c>
    </row>
    <row r="85" spans="1:7" ht="15.75">
      <c r="A85" s="48">
        <v>1620</v>
      </c>
      <c r="B85" s="49" t="s">
        <v>368</v>
      </c>
      <c r="C85" s="49" t="s">
        <v>368</v>
      </c>
      <c r="D85" s="139">
        <v>3.0057999999999998</v>
      </c>
      <c r="E85" s="94">
        <f>Tabel12[[#This Row],[Basistarief HH]]*2</f>
        <v>6.0115999999999996</v>
      </c>
      <c r="F85" s="139">
        <v>4.8536000000000001</v>
      </c>
      <c r="G85" s="139">
        <v>1.9971000000000001</v>
      </c>
    </row>
    <row r="86" spans="1:7" ht="15.75">
      <c r="A86" s="48">
        <v>9420</v>
      </c>
      <c r="B86" s="49" t="s">
        <v>133</v>
      </c>
      <c r="C86" s="49" t="s">
        <v>134</v>
      </c>
      <c r="D86" s="139">
        <v>3.0057999999999998</v>
      </c>
      <c r="E86" s="94">
        <f>Tabel12[[#This Row],[Basistarief HH]]*2</f>
        <v>6.0115999999999996</v>
      </c>
      <c r="F86" s="139">
        <v>4.8536000000000001</v>
      </c>
      <c r="G86" s="139">
        <v>1.9971000000000001</v>
      </c>
    </row>
    <row r="87" spans="1:7" ht="15.75">
      <c r="A87" s="48">
        <v>9420</v>
      </c>
      <c r="B87" s="49" t="s">
        <v>135</v>
      </c>
      <c r="C87" s="49" t="s">
        <v>134</v>
      </c>
      <c r="D87" s="139">
        <v>3.0057999999999998</v>
      </c>
      <c r="E87" s="94">
        <f>Tabel12[[#This Row],[Basistarief HH]]*2</f>
        <v>6.0115999999999996</v>
      </c>
      <c r="F87" s="139">
        <v>4.8536000000000001</v>
      </c>
      <c r="G87" s="139">
        <v>1.9971000000000001</v>
      </c>
    </row>
    <row r="88" spans="1:7" ht="15.75">
      <c r="A88" s="48">
        <v>9420</v>
      </c>
      <c r="B88" s="49" t="s">
        <v>136</v>
      </c>
      <c r="C88" s="49" t="s">
        <v>134</v>
      </c>
      <c r="D88" s="139">
        <v>3.0057999999999998</v>
      </c>
      <c r="E88" s="94">
        <f>Tabel12[[#This Row],[Basistarief HH]]*2</f>
        <v>6.0115999999999996</v>
      </c>
      <c r="F88" s="139">
        <v>4.8536000000000001</v>
      </c>
      <c r="G88" s="139">
        <v>1.9971000000000001</v>
      </c>
    </row>
    <row r="89" spans="1:7" ht="15.75">
      <c r="A89" s="48">
        <v>9420</v>
      </c>
      <c r="B89" s="49" t="s">
        <v>137</v>
      </c>
      <c r="C89" s="49" t="s">
        <v>134</v>
      </c>
      <c r="D89" s="139">
        <v>3.0057999999999998</v>
      </c>
      <c r="E89" s="94">
        <f>Tabel12[[#This Row],[Basistarief HH]]*2</f>
        <v>6.0115999999999996</v>
      </c>
      <c r="F89" s="139">
        <v>4.8536000000000001</v>
      </c>
      <c r="G89" s="139">
        <v>1.9971000000000001</v>
      </c>
    </row>
    <row r="90" spans="1:7" ht="15.75">
      <c r="A90" s="48">
        <v>9420</v>
      </c>
      <c r="B90" s="49" t="s">
        <v>138</v>
      </c>
      <c r="C90" s="49" t="s">
        <v>134</v>
      </c>
      <c r="D90" s="139">
        <v>3.0057999999999998</v>
      </c>
      <c r="E90" s="94">
        <f>Tabel12[[#This Row],[Basistarief HH]]*2</f>
        <v>6.0115999999999996</v>
      </c>
      <c r="F90" s="139">
        <v>4.8536000000000001</v>
      </c>
      <c r="G90" s="139">
        <v>1.9971000000000001</v>
      </c>
    </row>
    <row r="91" spans="1:7" ht="15.75">
      <c r="A91" s="48">
        <v>9420</v>
      </c>
      <c r="B91" s="49" t="s">
        <v>139</v>
      </c>
      <c r="C91" s="49" t="s">
        <v>134</v>
      </c>
      <c r="D91" s="139">
        <v>3.0057999999999998</v>
      </c>
      <c r="E91" s="94">
        <f>Tabel12[[#This Row],[Basistarief HH]]*2</f>
        <v>6.0115999999999996</v>
      </c>
      <c r="F91" s="139">
        <v>4.8536000000000001</v>
      </c>
      <c r="G91" s="139">
        <v>1.9971000000000001</v>
      </c>
    </row>
    <row r="92" spans="1:7" ht="15.75">
      <c r="A92" s="48">
        <v>9420</v>
      </c>
      <c r="B92" s="49" t="s">
        <v>140</v>
      </c>
      <c r="C92" s="49" t="s">
        <v>134</v>
      </c>
      <c r="D92" s="139">
        <v>3.0057999999999998</v>
      </c>
      <c r="E92" s="94">
        <f>Tabel12[[#This Row],[Basistarief HH]]*2</f>
        <v>6.0115999999999996</v>
      </c>
      <c r="F92" s="139">
        <v>4.8536000000000001</v>
      </c>
      <c r="G92" s="139">
        <v>1.9971000000000001</v>
      </c>
    </row>
    <row r="93" spans="1:7" ht="15.75">
      <c r="A93" s="48">
        <v>9420</v>
      </c>
      <c r="B93" s="49" t="s">
        <v>141</v>
      </c>
      <c r="C93" s="49" t="s">
        <v>134</v>
      </c>
      <c r="D93" s="139">
        <v>3.0057999999999998</v>
      </c>
      <c r="E93" s="94">
        <f>Tabel12[[#This Row],[Basistarief HH]]*2</f>
        <v>6.0115999999999996</v>
      </c>
      <c r="F93" s="139">
        <v>4.8536000000000001</v>
      </c>
      <c r="G93" s="139">
        <v>1.9971000000000001</v>
      </c>
    </row>
    <row r="94" spans="1:7" ht="15.75">
      <c r="A94" s="48">
        <v>9890</v>
      </c>
      <c r="B94" s="49" t="s">
        <v>142</v>
      </c>
      <c r="C94" s="49" t="s">
        <v>143</v>
      </c>
      <c r="D94" s="139">
        <v>3.0057999999999998</v>
      </c>
      <c r="E94" s="94">
        <f>Tabel12[[#This Row],[Basistarief HH]]*2</f>
        <v>6.0115999999999996</v>
      </c>
      <c r="F94" s="139">
        <v>4.8536000000000001</v>
      </c>
      <c r="G94" s="139">
        <v>1.9971000000000001</v>
      </c>
    </row>
    <row r="95" spans="1:7" ht="15.75">
      <c r="A95" s="48">
        <v>9890</v>
      </c>
      <c r="B95" s="49" t="s">
        <v>144</v>
      </c>
      <c r="C95" s="49" t="s">
        <v>143</v>
      </c>
      <c r="D95" s="139">
        <v>3.0057999999999998</v>
      </c>
      <c r="E95" s="94">
        <f>Tabel12[[#This Row],[Basistarief HH]]*2</f>
        <v>6.0115999999999996</v>
      </c>
      <c r="F95" s="139">
        <v>4.8536000000000001</v>
      </c>
      <c r="G95" s="139">
        <v>1.9971000000000001</v>
      </c>
    </row>
    <row r="96" spans="1:7" ht="15.75">
      <c r="A96" s="48">
        <v>9890</v>
      </c>
      <c r="B96" s="49" t="s">
        <v>145</v>
      </c>
      <c r="C96" s="49" t="s">
        <v>143</v>
      </c>
      <c r="D96" s="139">
        <v>3.0057999999999998</v>
      </c>
      <c r="E96" s="94">
        <f>Tabel12[[#This Row],[Basistarief HH]]*2</f>
        <v>6.0115999999999996</v>
      </c>
      <c r="F96" s="139">
        <v>4.8536000000000001</v>
      </c>
      <c r="G96" s="139">
        <v>1.9971000000000001</v>
      </c>
    </row>
    <row r="97" spans="1:7" ht="15.75">
      <c r="A97" s="48">
        <v>9890</v>
      </c>
      <c r="B97" s="49" t="s">
        <v>143</v>
      </c>
      <c r="C97" s="49" t="s">
        <v>143</v>
      </c>
      <c r="D97" s="139">
        <v>3.0057999999999998</v>
      </c>
      <c r="E97" s="94">
        <f>Tabel12[[#This Row],[Basistarief HH]]*2</f>
        <v>6.0115999999999996</v>
      </c>
      <c r="F97" s="139">
        <v>4.8536000000000001</v>
      </c>
      <c r="G97" s="139">
        <v>1.9971000000000001</v>
      </c>
    </row>
    <row r="98" spans="1:7" ht="15.75">
      <c r="A98" s="48">
        <v>9890</v>
      </c>
      <c r="B98" s="49" t="s">
        <v>146</v>
      </c>
      <c r="C98" s="49" t="s">
        <v>143</v>
      </c>
      <c r="D98" s="139">
        <v>3.0057999999999998</v>
      </c>
      <c r="E98" s="94">
        <f>Tabel12[[#This Row],[Basistarief HH]]*2</f>
        <v>6.0115999999999996</v>
      </c>
      <c r="F98" s="139">
        <v>4.8536000000000001</v>
      </c>
      <c r="G98" s="139">
        <v>1.9971000000000001</v>
      </c>
    </row>
    <row r="99" spans="1:7" ht="15.75">
      <c r="A99" s="48">
        <v>9890</v>
      </c>
      <c r="B99" s="49" t="s">
        <v>147</v>
      </c>
      <c r="C99" s="49" t="s">
        <v>143</v>
      </c>
      <c r="D99" s="139">
        <v>3.0057999999999998</v>
      </c>
      <c r="E99" s="94">
        <f>Tabel12[[#This Row],[Basistarief HH]]*2</f>
        <v>6.0115999999999996</v>
      </c>
      <c r="F99" s="139">
        <v>4.8536000000000001</v>
      </c>
      <c r="G99" s="139">
        <v>1.9971000000000001</v>
      </c>
    </row>
    <row r="100" spans="1:7" ht="15.75">
      <c r="A100" s="48">
        <v>9042</v>
      </c>
      <c r="B100" s="49" t="s">
        <v>148</v>
      </c>
      <c r="C100" s="49" t="s">
        <v>149</v>
      </c>
      <c r="D100" s="139">
        <v>3.0057999999999998</v>
      </c>
      <c r="E100" s="94">
        <f>Tabel12[[#This Row],[Basistarief HH]]*2</f>
        <v>6.0115999999999996</v>
      </c>
      <c r="F100" s="139">
        <v>4.8536000000000001</v>
      </c>
      <c r="G100" s="139">
        <v>1.9971000000000001</v>
      </c>
    </row>
    <row r="101" spans="1:7" ht="15.75">
      <c r="A101" s="48">
        <v>9031</v>
      </c>
      <c r="B101" s="49" t="s">
        <v>150</v>
      </c>
      <c r="C101" s="49" t="s">
        <v>149</v>
      </c>
      <c r="D101" s="139">
        <v>3.0057999999999998</v>
      </c>
      <c r="E101" s="94">
        <f>Tabel12[[#This Row],[Basistarief HH]]*2</f>
        <v>6.0115999999999996</v>
      </c>
      <c r="F101" s="139">
        <v>4.8536000000000001</v>
      </c>
      <c r="G101" s="139">
        <v>1.9971000000000001</v>
      </c>
    </row>
    <row r="102" spans="1:7" ht="15.75">
      <c r="A102" s="48">
        <v>9050</v>
      </c>
      <c r="B102" s="49" t="s">
        <v>151</v>
      </c>
      <c r="C102" s="49" t="s">
        <v>149</v>
      </c>
      <c r="D102" s="139">
        <v>3.0057999999999998</v>
      </c>
      <c r="E102" s="94">
        <f>Tabel12[[#This Row],[Basistarief HH]]*2</f>
        <v>6.0115999999999996</v>
      </c>
      <c r="F102" s="139">
        <v>4.8536000000000001</v>
      </c>
      <c r="G102" s="139">
        <v>1.9971000000000001</v>
      </c>
    </row>
    <row r="103" spans="1:7" ht="15.75">
      <c r="A103" s="48">
        <v>9000</v>
      </c>
      <c r="B103" s="49" t="s">
        <v>152</v>
      </c>
      <c r="C103" s="49" t="s">
        <v>149</v>
      </c>
      <c r="D103" s="139">
        <v>3.0057999999999998</v>
      </c>
      <c r="E103" s="94">
        <f>Tabel12[[#This Row],[Basistarief HH]]*2</f>
        <v>6.0115999999999996</v>
      </c>
      <c r="F103" s="139">
        <v>4.8536000000000001</v>
      </c>
      <c r="G103" s="139">
        <v>1.9971000000000001</v>
      </c>
    </row>
    <row r="104" spans="1:7" ht="15.75">
      <c r="A104" s="48">
        <v>9050</v>
      </c>
      <c r="B104" s="49" t="s">
        <v>153</v>
      </c>
      <c r="C104" s="49" t="s">
        <v>149</v>
      </c>
      <c r="D104" s="139">
        <v>3.0057999999999998</v>
      </c>
      <c r="E104" s="94">
        <f>Tabel12[[#This Row],[Basistarief HH]]*2</f>
        <v>6.0115999999999996</v>
      </c>
      <c r="F104" s="139">
        <v>4.8536000000000001</v>
      </c>
      <c r="G104" s="139">
        <v>1.9971000000000001</v>
      </c>
    </row>
    <row r="105" spans="1:7" ht="15.75">
      <c r="A105" s="48">
        <v>9030</v>
      </c>
      <c r="B105" s="49" t="s">
        <v>154</v>
      </c>
      <c r="C105" s="49" t="s">
        <v>149</v>
      </c>
      <c r="D105" s="139">
        <v>3.0057999999999998</v>
      </c>
      <c r="E105" s="94">
        <f>Tabel12[[#This Row],[Basistarief HH]]*2</f>
        <v>6.0115999999999996</v>
      </c>
      <c r="F105" s="139">
        <v>4.8536000000000001</v>
      </c>
      <c r="G105" s="139">
        <v>1.9971000000000001</v>
      </c>
    </row>
    <row r="106" spans="1:7" ht="15.75">
      <c r="A106" s="48">
        <v>9042</v>
      </c>
      <c r="B106" s="49" t="s">
        <v>155</v>
      </c>
      <c r="C106" s="49" t="s">
        <v>149</v>
      </c>
      <c r="D106" s="139">
        <v>3.0057999999999998</v>
      </c>
      <c r="E106" s="94">
        <f>Tabel12[[#This Row],[Basistarief HH]]*2</f>
        <v>6.0115999999999996</v>
      </c>
      <c r="F106" s="139">
        <v>4.8536000000000001</v>
      </c>
      <c r="G106" s="139">
        <v>1.9971000000000001</v>
      </c>
    </row>
    <row r="107" spans="1:7" ht="15.75">
      <c r="A107" s="48">
        <v>9041</v>
      </c>
      <c r="B107" s="49" t="s">
        <v>156</v>
      </c>
      <c r="C107" s="49" t="s">
        <v>149</v>
      </c>
      <c r="D107" s="139">
        <v>3.0057999999999998</v>
      </c>
      <c r="E107" s="94">
        <f>Tabel12[[#This Row],[Basistarief HH]]*2</f>
        <v>6.0115999999999996</v>
      </c>
      <c r="F107" s="139">
        <v>4.8536000000000001</v>
      </c>
      <c r="G107" s="139">
        <v>1.9971000000000001</v>
      </c>
    </row>
    <row r="108" spans="1:7" ht="15.75">
      <c r="A108" s="48">
        <v>9040</v>
      </c>
      <c r="B108" s="49" t="s">
        <v>157</v>
      </c>
      <c r="C108" s="49" t="s">
        <v>149</v>
      </c>
      <c r="D108" s="139">
        <v>3.0057999999999998</v>
      </c>
      <c r="E108" s="94">
        <f>Tabel12[[#This Row],[Basistarief HH]]*2</f>
        <v>6.0115999999999996</v>
      </c>
      <c r="F108" s="139">
        <v>4.8536000000000001</v>
      </c>
      <c r="G108" s="139">
        <v>1.9971000000000001</v>
      </c>
    </row>
    <row r="109" spans="1:7" ht="15.75">
      <c r="A109" s="48">
        <v>9051</v>
      </c>
      <c r="B109" s="49" t="s">
        <v>158</v>
      </c>
      <c r="C109" s="49" t="s">
        <v>149</v>
      </c>
      <c r="D109" s="139">
        <v>3.0057999999999998</v>
      </c>
      <c r="E109" s="94">
        <f>Tabel12[[#This Row],[Basistarief HH]]*2</f>
        <v>6.0115999999999996</v>
      </c>
      <c r="F109" s="139">
        <v>4.8536000000000001</v>
      </c>
      <c r="G109" s="139">
        <v>1.9971000000000001</v>
      </c>
    </row>
    <row r="110" spans="1:7" ht="15.75">
      <c r="A110" s="48">
        <v>9051</v>
      </c>
      <c r="B110" s="49" t="s">
        <v>159</v>
      </c>
      <c r="C110" s="49" t="s">
        <v>149</v>
      </c>
      <c r="D110" s="139">
        <v>3.0057999999999998</v>
      </c>
      <c r="E110" s="94">
        <f>Tabel12[[#This Row],[Basistarief HH]]*2</f>
        <v>6.0115999999999996</v>
      </c>
      <c r="F110" s="139">
        <v>4.8536000000000001</v>
      </c>
      <c r="G110" s="139">
        <v>1.9971000000000001</v>
      </c>
    </row>
    <row r="111" spans="1:7" ht="15.75">
      <c r="A111" s="48">
        <v>9042</v>
      </c>
      <c r="B111" s="49" t="s">
        <v>160</v>
      </c>
      <c r="C111" s="49" t="s">
        <v>149</v>
      </c>
      <c r="D111" s="139">
        <v>3.0057999999999998</v>
      </c>
      <c r="E111" s="94">
        <f>Tabel12[[#This Row],[Basistarief HH]]*2</f>
        <v>6.0115999999999996</v>
      </c>
      <c r="F111" s="139">
        <v>4.8536000000000001</v>
      </c>
      <c r="G111" s="139">
        <v>1.9971000000000001</v>
      </c>
    </row>
    <row r="112" spans="1:7" ht="15.75">
      <c r="A112" s="48">
        <v>9032</v>
      </c>
      <c r="B112" s="49" t="s">
        <v>161</v>
      </c>
      <c r="C112" s="49" t="s">
        <v>149</v>
      </c>
      <c r="D112" s="139">
        <v>3.0057999999999998</v>
      </c>
      <c r="E112" s="94">
        <f>Tabel12[[#This Row],[Basistarief HH]]*2</f>
        <v>6.0115999999999996</v>
      </c>
      <c r="F112" s="139">
        <v>4.8536000000000001</v>
      </c>
      <c r="G112" s="139">
        <v>1.9971000000000001</v>
      </c>
    </row>
    <row r="113" spans="1:7" ht="15.75">
      <c r="A113" s="48">
        <v>9052</v>
      </c>
      <c r="B113" s="49" t="s">
        <v>162</v>
      </c>
      <c r="C113" s="49" t="s">
        <v>149</v>
      </c>
      <c r="D113" s="139">
        <v>3.0057999999999998</v>
      </c>
      <c r="E113" s="94">
        <f>Tabel12[[#This Row],[Basistarief HH]]*2</f>
        <v>6.0115999999999996</v>
      </c>
      <c r="F113" s="139">
        <v>4.8536000000000001</v>
      </c>
      <c r="G113" s="139">
        <v>1.9971000000000001</v>
      </c>
    </row>
    <row r="114" spans="1:7" ht="15.75">
      <c r="A114" s="48">
        <v>1500</v>
      </c>
      <c r="B114" s="49" t="s">
        <v>163</v>
      </c>
      <c r="C114" s="49" t="s">
        <v>163</v>
      </c>
      <c r="D114" s="139">
        <v>3.0057999999999998</v>
      </c>
      <c r="E114" s="94">
        <f>Tabel12[[#This Row],[Basistarief HH]]*2</f>
        <v>6.0115999999999996</v>
      </c>
      <c r="F114" s="139">
        <v>4.8536000000000001</v>
      </c>
      <c r="G114" s="139">
        <v>1.9971000000000001</v>
      </c>
    </row>
    <row r="115" spans="1:7" ht="15.75">
      <c r="A115" s="48">
        <v>9220</v>
      </c>
      <c r="B115" s="49" t="s">
        <v>164</v>
      </c>
      <c r="C115" s="49" t="s">
        <v>164</v>
      </c>
      <c r="D115" s="139">
        <v>3.0057999999999998</v>
      </c>
      <c r="E115" s="94">
        <f>Tabel12[[#This Row],[Basistarief HH]]*2</f>
        <v>6.0115999999999996</v>
      </c>
      <c r="F115" s="139">
        <v>4.8536000000000001</v>
      </c>
      <c r="G115" s="139">
        <v>1.9971000000000001</v>
      </c>
    </row>
    <row r="116" spans="1:7" ht="15.75">
      <c r="A116" s="48">
        <v>9220</v>
      </c>
      <c r="B116" s="49" t="s">
        <v>165</v>
      </c>
      <c r="C116" s="49" t="s">
        <v>164</v>
      </c>
      <c r="D116" s="139">
        <v>3.0057999999999998</v>
      </c>
      <c r="E116" s="94">
        <f>Tabel12[[#This Row],[Basistarief HH]]*2</f>
        <v>6.0115999999999996</v>
      </c>
      <c r="F116" s="139">
        <v>4.8536000000000001</v>
      </c>
      <c r="G116" s="139">
        <v>1.9971000000000001</v>
      </c>
    </row>
    <row r="117" spans="1:7" ht="15.75">
      <c r="A117" s="48">
        <v>9552</v>
      </c>
      <c r="B117" s="49" t="s">
        <v>166</v>
      </c>
      <c r="C117" s="49" t="s">
        <v>167</v>
      </c>
      <c r="D117" s="139">
        <v>3.0057999999999998</v>
      </c>
      <c r="E117" s="94">
        <f>Tabel12[[#This Row],[Basistarief HH]]*2</f>
        <v>6.0115999999999996</v>
      </c>
      <c r="F117" s="139">
        <v>4.8536000000000001</v>
      </c>
      <c r="G117" s="139">
        <v>1.9971000000000001</v>
      </c>
    </row>
    <row r="118" spans="1:7" ht="15.75">
      <c r="A118" s="48">
        <v>9550</v>
      </c>
      <c r="B118" s="49" t="s">
        <v>167</v>
      </c>
      <c r="C118" s="49" t="s">
        <v>167</v>
      </c>
      <c r="D118" s="139">
        <v>3.0057999999999998</v>
      </c>
      <c r="E118" s="94">
        <f>Tabel12[[#This Row],[Basistarief HH]]*2</f>
        <v>6.0115999999999996</v>
      </c>
      <c r="F118" s="139">
        <v>4.8536000000000001</v>
      </c>
      <c r="G118" s="139">
        <v>1.9971000000000001</v>
      </c>
    </row>
    <row r="119" spans="1:7" ht="15.75">
      <c r="A119" s="48">
        <v>9550</v>
      </c>
      <c r="B119" s="49" t="s">
        <v>168</v>
      </c>
      <c r="C119" s="49" t="s">
        <v>167</v>
      </c>
      <c r="D119" s="139">
        <v>3.0057999999999998</v>
      </c>
      <c r="E119" s="94">
        <f>Tabel12[[#This Row],[Basistarief HH]]*2</f>
        <v>6.0115999999999996</v>
      </c>
      <c r="F119" s="139">
        <v>4.8536000000000001</v>
      </c>
      <c r="G119" s="139">
        <v>1.9971000000000001</v>
      </c>
    </row>
    <row r="120" spans="1:7" ht="15.75">
      <c r="A120" s="48">
        <v>9551</v>
      </c>
      <c r="B120" s="49" t="s">
        <v>169</v>
      </c>
      <c r="C120" s="49" t="s">
        <v>167</v>
      </c>
      <c r="D120" s="139">
        <v>3.0057999999999998</v>
      </c>
      <c r="E120" s="94">
        <f>Tabel12[[#This Row],[Basistarief HH]]*2</f>
        <v>6.0115999999999996</v>
      </c>
      <c r="F120" s="139">
        <v>4.8536000000000001</v>
      </c>
      <c r="G120" s="139">
        <v>1.9971000000000001</v>
      </c>
    </row>
    <row r="121" spans="1:7" ht="15.75">
      <c r="A121" s="48">
        <v>9550</v>
      </c>
      <c r="B121" s="49" t="s">
        <v>170</v>
      </c>
      <c r="C121" s="49" t="s">
        <v>167</v>
      </c>
      <c r="D121" s="139">
        <v>3.0057999999999998</v>
      </c>
      <c r="E121" s="94">
        <f>Tabel12[[#This Row],[Basistarief HH]]*2</f>
        <v>6.0115999999999996</v>
      </c>
      <c r="F121" s="139">
        <v>4.8536000000000001</v>
      </c>
      <c r="G121" s="139">
        <v>1.9971000000000001</v>
      </c>
    </row>
    <row r="122" spans="1:7" ht="15.75">
      <c r="A122" s="48">
        <v>9550</v>
      </c>
      <c r="B122" s="49" t="s">
        <v>171</v>
      </c>
      <c r="C122" s="49" t="s">
        <v>167</v>
      </c>
      <c r="D122" s="139">
        <v>3.0057999999999998</v>
      </c>
      <c r="E122" s="94">
        <f>Tabel12[[#This Row],[Basistarief HH]]*2</f>
        <v>6.0115999999999996</v>
      </c>
      <c r="F122" s="139">
        <v>4.8536000000000001</v>
      </c>
      <c r="G122" s="139">
        <v>1.9971000000000001</v>
      </c>
    </row>
    <row r="123" spans="1:7" ht="15.75">
      <c r="A123" s="48">
        <v>9550</v>
      </c>
      <c r="B123" s="49" t="s">
        <v>172</v>
      </c>
      <c r="C123" s="49" t="s">
        <v>167</v>
      </c>
      <c r="D123" s="139">
        <v>3.0057999999999998</v>
      </c>
      <c r="E123" s="94">
        <f>Tabel12[[#This Row],[Basistarief HH]]*2</f>
        <v>6.0115999999999996</v>
      </c>
      <c r="F123" s="139">
        <v>4.8536000000000001</v>
      </c>
      <c r="G123" s="139">
        <v>1.9971000000000001</v>
      </c>
    </row>
    <row r="124" spans="1:7" ht="15.75">
      <c r="A124" s="48">
        <v>9550</v>
      </c>
      <c r="B124" s="49" t="s">
        <v>173</v>
      </c>
      <c r="C124" s="49" t="s">
        <v>167</v>
      </c>
      <c r="D124" s="139">
        <v>3.0057999999999998</v>
      </c>
      <c r="E124" s="94">
        <f>Tabel12[[#This Row],[Basistarief HH]]*2</f>
        <v>6.0115999999999996</v>
      </c>
      <c r="F124" s="139">
        <v>4.8536000000000001</v>
      </c>
      <c r="G124" s="139">
        <v>1.9971000000000001</v>
      </c>
    </row>
    <row r="125" spans="1:7" ht="15.75">
      <c r="A125" s="48">
        <v>9667</v>
      </c>
      <c r="B125" s="49" t="s">
        <v>174</v>
      </c>
      <c r="C125" s="49" t="s">
        <v>175</v>
      </c>
      <c r="D125" s="139">
        <v>3.0057999999999998</v>
      </c>
      <c r="E125" s="94">
        <f>Tabel12[[#This Row],[Basistarief HH]]*2</f>
        <v>6.0115999999999996</v>
      </c>
      <c r="F125" s="139">
        <v>4.8536000000000001</v>
      </c>
      <c r="G125" s="139">
        <v>1.9971000000000001</v>
      </c>
    </row>
    <row r="126" spans="1:7" ht="15.75">
      <c r="A126" s="48">
        <v>9667</v>
      </c>
      <c r="B126" s="49" t="s">
        <v>176</v>
      </c>
      <c r="C126" s="49" t="s">
        <v>175</v>
      </c>
      <c r="D126" s="139">
        <v>3.0057999999999998</v>
      </c>
      <c r="E126" s="94">
        <f>Tabel12[[#This Row],[Basistarief HH]]*2</f>
        <v>6.0115999999999996</v>
      </c>
      <c r="F126" s="139">
        <v>4.8536000000000001</v>
      </c>
      <c r="G126" s="139">
        <v>1.9971000000000001</v>
      </c>
    </row>
    <row r="127" spans="1:7" ht="15.75">
      <c r="A127" s="48">
        <v>8490</v>
      </c>
      <c r="B127" s="49" t="s">
        <v>177</v>
      </c>
      <c r="C127" s="49" t="s">
        <v>178</v>
      </c>
      <c r="D127" s="139">
        <v>3.0057999999999998</v>
      </c>
      <c r="E127" s="94">
        <f>Tabel12[[#This Row],[Basistarief HH]]*2</f>
        <v>6.0115999999999996</v>
      </c>
      <c r="F127" s="139">
        <v>4.8536000000000001</v>
      </c>
      <c r="G127" s="139">
        <v>1.9971000000000001</v>
      </c>
    </row>
    <row r="128" spans="1:7" ht="15.75">
      <c r="A128" s="48">
        <v>8490</v>
      </c>
      <c r="B128" s="49" t="s">
        <v>179</v>
      </c>
      <c r="C128" s="49" t="s">
        <v>178</v>
      </c>
      <c r="D128" s="139">
        <v>3.0057999999999998</v>
      </c>
      <c r="E128" s="94">
        <f>Tabel12[[#This Row],[Basistarief HH]]*2</f>
        <v>6.0115999999999996</v>
      </c>
      <c r="F128" s="139">
        <v>4.8536000000000001</v>
      </c>
      <c r="G128" s="139">
        <v>1.9971000000000001</v>
      </c>
    </row>
    <row r="129" spans="1:7" ht="15.75">
      <c r="A129" s="48">
        <v>8490</v>
      </c>
      <c r="B129" s="49" t="s">
        <v>180</v>
      </c>
      <c r="C129" s="49" t="s">
        <v>178</v>
      </c>
      <c r="D129" s="139">
        <v>3.0057999999999998</v>
      </c>
      <c r="E129" s="94">
        <f>Tabel12[[#This Row],[Basistarief HH]]*2</f>
        <v>6.0115999999999996</v>
      </c>
      <c r="F129" s="139">
        <v>4.8536000000000001</v>
      </c>
      <c r="G129" s="139">
        <v>1.9971000000000001</v>
      </c>
    </row>
    <row r="130" spans="1:7" ht="15.75">
      <c r="A130" s="48">
        <v>8490</v>
      </c>
      <c r="B130" s="49" t="s">
        <v>178</v>
      </c>
      <c r="C130" s="49" t="s">
        <v>178</v>
      </c>
      <c r="D130" s="139">
        <v>3.0057999999999998</v>
      </c>
      <c r="E130" s="94">
        <f>Tabel12[[#This Row],[Basistarief HH]]*2</f>
        <v>6.0115999999999996</v>
      </c>
      <c r="F130" s="139">
        <v>4.8536000000000001</v>
      </c>
      <c r="G130" s="139">
        <v>1.9971000000000001</v>
      </c>
    </row>
    <row r="131" spans="1:7" ht="15.75">
      <c r="A131" s="48">
        <v>8490</v>
      </c>
      <c r="B131" s="49" t="s">
        <v>181</v>
      </c>
      <c r="C131" s="49" t="s">
        <v>178</v>
      </c>
      <c r="D131" s="139">
        <v>3.0057999999999998</v>
      </c>
      <c r="E131" s="94">
        <f>Tabel12[[#This Row],[Basistarief HH]]*2</f>
        <v>6.0115999999999996</v>
      </c>
      <c r="F131" s="139">
        <v>4.8536000000000001</v>
      </c>
      <c r="G131" s="139">
        <v>1.9971000000000001</v>
      </c>
    </row>
    <row r="132" spans="1:7" ht="15.75">
      <c r="A132" s="48">
        <v>9690</v>
      </c>
      <c r="B132" s="49" t="s">
        <v>182</v>
      </c>
      <c r="C132" s="49" t="s">
        <v>183</v>
      </c>
      <c r="D132" s="139">
        <v>3.0057999999999998</v>
      </c>
      <c r="E132" s="94">
        <f>Tabel12[[#This Row],[Basistarief HH]]*2</f>
        <v>6.0115999999999996</v>
      </c>
      <c r="F132" s="139">
        <v>4.8536000000000001</v>
      </c>
      <c r="G132" s="139">
        <v>1.9971000000000001</v>
      </c>
    </row>
    <row r="133" spans="1:7" ht="15.75">
      <c r="A133" s="48">
        <v>9690</v>
      </c>
      <c r="B133" s="49" t="s">
        <v>184</v>
      </c>
      <c r="C133" s="49" t="s">
        <v>183</v>
      </c>
      <c r="D133" s="139">
        <v>3.0057999999999998</v>
      </c>
      <c r="E133" s="94">
        <f>Tabel12[[#This Row],[Basistarief HH]]*2</f>
        <v>6.0115999999999996</v>
      </c>
      <c r="F133" s="139">
        <v>4.8536000000000001</v>
      </c>
      <c r="G133" s="139">
        <v>1.9971000000000001</v>
      </c>
    </row>
    <row r="134" spans="1:7" ht="15.75">
      <c r="A134" s="48">
        <v>9690</v>
      </c>
      <c r="B134" s="49" t="s">
        <v>185</v>
      </c>
      <c r="C134" s="49" t="s">
        <v>183</v>
      </c>
      <c r="D134" s="139">
        <v>3.0057999999999998</v>
      </c>
      <c r="E134" s="94">
        <f>Tabel12[[#This Row],[Basistarief HH]]*2</f>
        <v>6.0115999999999996</v>
      </c>
      <c r="F134" s="139">
        <v>4.8536000000000001</v>
      </c>
      <c r="G134" s="139">
        <v>1.9971000000000001</v>
      </c>
    </row>
    <row r="135" spans="1:7" ht="15.75">
      <c r="A135" s="48">
        <v>9690</v>
      </c>
      <c r="B135" s="49" t="s">
        <v>186</v>
      </c>
      <c r="C135" s="49" t="s">
        <v>183</v>
      </c>
      <c r="D135" s="139">
        <v>3.0057999999999998</v>
      </c>
      <c r="E135" s="94">
        <f>Tabel12[[#This Row],[Basistarief HH]]*2</f>
        <v>6.0115999999999996</v>
      </c>
      <c r="F135" s="139">
        <v>4.8536000000000001</v>
      </c>
      <c r="G135" s="139">
        <v>1.9971000000000001</v>
      </c>
    </row>
    <row r="136" spans="1:7" ht="15.75">
      <c r="A136" s="48">
        <v>9910</v>
      </c>
      <c r="B136" s="49" t="s">
        <v>187</v>
      </c>
      <c r="C136" s="49" t="s">
        <v>56</v>
      </c>
      <c r="D136" s="139">
        <v>3.0057999999999998</v>
      </c>
      <c r="E136" s="94">
        <f>Tabel12[[#This Row],[Basistarief HH]]*2</f>
        <v>6.0115999999999996</v>
      </c>
      <c r="F136" s="139">
        <v>4.8536000000000001</v>
      </c>
      <c r="G136" s="139">
        <v>1.9971000000000001</v>
      </c>
    </row>
    <row r="137" spans="1:7" ht="15.75">
      <c r="A137" s="48">
        <v>9910</v>
      </c>
      <c r="B137" s="49" t="s">
        <v>188</v>
      </c>
      <c r="C137" s="49" t="s">
        <v>56</v>
      </c>
      <c r="D137" s="139">
        <v>3.0057999999999998</v>
      </c>
      <c r="E137" s="94">
        <f>Tabel12[[#This Row],[Basistarief HH]]*2</f>
        <v>6.0115999999999996</v>
      </c>
      <c r="F137" s="139">
        <v>4.8536000000000001</v>
      </c>
      <c r="G137" s="139">
        <v>1.9971000000000001</v>
      </c>
    </row>
    <row r="138" spans="1:7" ht="15.75">
      <c r="A138" s="48">
        <v>9770</v>
      </c>
      <c r="B138" s="49" t="s">
        <v>189</v>
      </c>
      <c r="C138" s="49" t="s">
        <v>375</v>
      </c>
      <c r="D138" s="139">
        <v>3.0057999999999998</v>
      </c>
      <c r="E138" s="94">
        <f>Tabel12[[#This Row],[Basistarief HH]]*2</f>
        <v>6.0115999999999996</v>
      </c>
      <c r="F138" s="139">
        <v>4.8536000000000001</v>
      </c>
      <c r="G138" s="139">
        <v>1.9971000000000001</v>
      </c>
    </row>
    <row r="139" spans="1:7" ht="15.75">
      <c r="A139" s="48">
        <v>9770</v>
      </c>
      <c r="B139" s="49" t="s">
        <v>190</v>
      </c>
      <c r="C139" s="49" t="s">
        <v>375</v>
      </c>
      <c r="D139" s="139">
        <v>3.0057999999999998</v>
      </c>
      <c r="E139" s="94">
        <f>Tabel12[[#This Row],[Basistarief HH]]*2</f>
        <v>6.0115999999999996</v>
      </c>
      <c r="F139" s="139">
        <v>4.8536000000000001</v>
      </c>
      <c r="G139" s="139">
        <v>1.9971000000000001</v>
      </c>
    </row>
    <row r="140" spans="1:7" ht="15.75">
      <c r="A140" s="48">
        <v>9771</v>
      </c>
      <c r="B140" s="49" t="s">
        <v>191</v>
      </c>
      <c r="C140" s="49" t="s">
        <v>375</v>
      </c>
      <c r="D140" s="139">
        <v>3.0057999999999998</v>
      </c>
      <c r="E140" s="94">
        <f>Tabel12[[#This Row],[Basistarief HH]]*2</f>
        <v>6.0115999999999996</v>
      </c>
      <c r="F140" s="139">
        <v>4.8536000000000001</v>
      </c>
      <c r="G140" s="139">
        <v>1.9971000000000001</v>
      </c>
    </row>
    <row r="141" spans="1:7" ht="15.75">
      <c r="A141" s="48">
        <v>9772</v>
      </c>
      <c r="B141" s="49" t="s">
        <v>192</v>
      </c>
      <c r="C141" s="49" t="s">
        <v>375</v>
      </c>
      <c r="D141" s="139">
        <v>3.0057999999999998</v>
      </c>
      <c r="E141" s="94">
        <f>Tabel12[[#This Row],[Basistarief HH]]*2</f>
        <v>6.0115999999999996</v>
      </c>
      <c r="F141" s="139">
        <v>4.8536000000000001</v>
      </c>
      <c r="G141" s="139">
        <v>1.9971000000000001</v>
      </c>
    </row>
    <row r="142" spans="1:7" ht="15.75">
      <c r="A142" s="48">
        <v>9280</v>
      </c>
      <c r="B142" s="49" t="s">
        <v>193</v>
      </c>
      <c r="C142" s="49" t="s">
        <v>194</v>
      </c>
      <c r="D142" s="139">
        <v>3.0057999999999998</v>
      </c>
      <c r="E142" s="94">
        <f>Tabel12[[#This Row],[Basistarief HH]]*2</f>
        <v>6.0115999999999996</v>
      </c>
      <c r="F142" s="139">
        <v>4.8536000000000001</v>
      </c>
      <c r="G142" s="139">
        <v>1.9971000000000001</v>
      </c>
    </row>
    <row r="143" spans="1:7" ht="15.75">
      <c r="A143" s="48">
        <v>9280</v>
      </c>
      <c r="B143" s="49" t="s">
        <v>194</v>
      </c>
      <c r="C143" s="49" t="s">
        <v>194</v>
      </c>
      <c r="D143" s="139">
        <v>3.0057999999999998</v>
      </c>
      <c r="E143" s="94">
        <f>Tabel12[[#This Row],[Basistarief HH]]*2</f>
        <v>6.0115999999999996</v>
      </c>
      <c r="F143" s="139">
        <v>4.8536000000000001</v>
      </c>
      <c r="G143" s="139">
        <v>1.9971000000000001</v>
      </c>
    </row>
    <row r="144" spans="1:7" ht="15.75">
      <c r="A144" s="48">
        <v>9280</v>
      </c>
      <c r="B144" s="49" t="s">
        <v>195</v>
      </c>
      <c r="C144" s="49" t="s">
        <v>194</v>
      </c>
      <c r="D144" s="139">
        <v>3.0057999999999998</v>
      </c>
      <c r="E144" s="94">
        <f>Tabel12[[#This Row],[Basistarief HH]]*2</f>
        <v>6.0115999999999996</v>
      </c>
      <c r="F144" s="139">
        <v>4.8536000000000001</v>
      </c>
      <c r="G144" s="139">
        <v>1.9971000000000001</v>
      </c>
    </row>
    <row r="145" spans="1:7" ht="15.75">
      <c r="A145" s="48">
        <v>9340</v>
      </c>
      <c r="B145" s="49" t="s">
        <v>196</v>
      </c>
      <c r="C145" s="49" t="s">
        <v>197</v>
      </c>
      <c r="D145" s="139">
        <v>3.0057999999999998</v>
      </c>
      <c r="E145" s="94">
        <f>Tabel12[[#This Row],[Basistarief HH]]*2</f>
        <v>6.0115999999999996</v>
      </c>
      <c r="F145" s="139">
        <v>4.8536000000000001</v>
      </c>
      <c r="G145" s="139">
        <v>1.9971000000000001</v>
      </c>
    </row>
    <row r="146" spans="1:7" ht="15.75">
      <c r="A146" s="48">
        <v>9340</v>
      </c>
      <c r="B146" s="49" t="s">
        <v>197</v>
      </c>
      <c r="C146" s="49" t="s">
        <v>197</v>
      </c>
      <c r="D146" s="139">
        <v>3.0057999999999998</v>
      </c>
      <c r="E146" s="94">
        <f>Tabel12[[#This Row],[Basistarief HH]]*2</f>
        <v>6.0115999999999996</v>
      </c>
      <c r="F146" s="139">
        <v>4.8536000000000001</v>
      </c>
      <c r="G146" s="139">
        <v>1.9971000000000001</v>
      </c>
    </row>
    <row r="147" spans="1:7" ht="15.75">
      <c r="A147" s="48">
        <v>9340</v>
      </c>
      <c r="B147" s="49" t="s">
        <v>198</v>
      </c>
      <c r="C147" s="49" t="s">
        <v>197</v>
      </c>
      <c r="D147" s="139">
        <v>3.0057999999999998</v>
      </c>
      <c r="E147" s="94">
        <f>Tabel12[[#This Row],[Basistarief HH]]*2</f>
        <v>6.0115999999999996</v>
      </c>
      <c r="F147" s="139">
        <v>4.8536000000000001</v>
      </c>
      <c r="G147" s="139">
        <v>1.9971000000000001</v>
      </c>
    </row>
    <row r="148" spans="1:7" ht="15.75">
      <c r="A148" s="48">
        <v>9340</v>
      </c>
      <c r="B148" s="49" t="s">
        <v>199</v>
      </c>
      <c r="C148" s="49" t="s">
        <v>197</v>
      </c>
      <c r="D148" s="139">
        <v>3.0057999999999998</v>
      </c>
      <c r="E148" s="94">
        <f>Tabel12[[#This Row],[Basistarief HH]]*2</f>
        <v>6.0115999999999996</v>
      </c>
      <c r="F148" s="139">
        <v>4.8536000000000001</v>
      </c>
      <c r="G148" s="139">
        <v>1.9971000000000001</v>
      </c>
    </row>
    <row r="149" spans="1:7" ht="15.75">
      <c r="A149" s="48">
        <v>9340</v>
      </c>
      <c r="B149" s="49" t="s">
        <v>200</v>
      </c>
      <c r="C149" s="49" t="s">
        <v>197</v>
      </c>
      <c r="D149" s="139">
        <v>3.0057999999999998</v>
      </c>
      <c r="E149" s="94">
        <f>Tabel12[[#This Row],[Basistarief HH]]*2</f>
        <v>6.0115999999999996</v>
      </c>
      <c r="F149" s="139">
        <v>4.8536000000000001</v>
      </c>
      <c r="G149" s="139">
        <v>1.9971000000000001</v>
      </c>
    </row>
    <row r="150" spans="1:7" ht="15.75">
      <c r="A150" s="48">
        <v>1770</v>
      </c>
      <c r="B150" s="49" t="s">
        <v>201</v>
      </c>
      <c r="C150" s="49" t="s">
        <v>201</v>
      </c>
      <c r="D150" s="139">
        <v>3.0057999999999998</v>
      </c>
      <c r="E150" s="94">
        <f>Tabel12[[#This Row],[Basistarief HH]]*2</f>
        <v>6.0115999999999996</v>
      </c>
      <c r="F150" s="139">
        <v>4.8536000000000001</v>
      </c>
      <c r="G150" s="139">
        <v>1.9971000000000001</v>
      </c>
    </row>
    <row r="151" spans="1:7" ht="15.75">
      <c r="A151" s="48">
        <v>9570</v>
      </c>
      <c r="B151" s="49" t="s">
        <v>202</v>
      </c>
      <c r="C151" s="49" t="s">
        <v>203</v>
      </c>
      <c r="D151" s="139">
        <v>3.0057999999999998</v>
      </c>
      <c r="E151" s="94">
        <f>Tabel12[[#This Row],[Basistarief HH]]*2</f>
        <v>6.0115999999999996</v>
      </c>
      <c r="F151" s="139">
        <v>4.8536000000000001</v>
      </c>
      <c r="G151" s="139">
        <v>1.9971000000000001</v>
      </c>
    </row>
    <row r="152" spans="1:7" ht="15.75">
      <c r="A152" s="48">
        <v>9572</v>
      </c>
      <c r="B152" s="49" t="s">
        <v>204</v>
      </c>
      <c r="C152" s="49" t="s">
        <v>203</v>
      </c>
      <c r="D152" s="139">
        <v>3.0057999999999998</v>
      </c>
      <c r="E152" s="94">
        <f>Tabel12[[#This Row],[Basistarief HH]]*2</f>
        <v>6.0115999999999996</v>
      </c>
      <c r="F152" s="139">
        <v>4.8536000000000001</v>
      </c>
      <c r="G152" s="139">
        <v>1.9971000000000001</v>
      </c>
    </row>
    <row r="153" spans="1:7" ht="15.75">
      <c r="A153" s="48">
        <v>9570</v>
      </c>
      <c r="B153" s="49" t="s">
        <v>205</v>
      </c>
      <c r="C153" s="49" t="s">
        <v>203</v>
      </c>
      <c r="D153" s="139">
        <v>3.0057999999999998</v>
      </c>
      <c r="E153" s="94">
        <f>Tabel12[[#This Row],[Basistarief HH]]*2</f>
        <v>6.0115999999999996</v>
      </c>
      <c r="F153" s="139">
        <v>4.8536000000000001</v>
      </c>
      <c r="G153" s="139">
        <v>1.9971000000000001</v>
      </c>
    </row>
    <row r="154" spans="1:7" ht="15.75">
      <c r="A154" s="48">
        <v>1630</v>
      </c>
      <c r="B154" s="49" t="s">
        <v>369</v>
      </c>
      <c r="C154" s="49" t="s">
        <v>369</v>
      </c>
      <c r="D154" s="139">
        <v>3.0057999999999998</v>
      </c>
      <c r="E154" s="94">
        <f>Tabel12[[#This Row],[Basistarief HH]]*2</f>
        <v>6.0115999999999996</v>
      </c>
      <c r="F154" s="139">
        <v>4.8536000000000001</v>
      </c>
      <c r="G154" s="139">
        <v>1.9971000000000001</v>
      </c>
    </row>
    <row r="155" spans="1:7" ht="15.75">
      <c r="A155" s="48">
        <v>9080</v>
      </c>
      <c r="B155" s="49" t="s">
        <v>206</v>
      </c>
      <c r="C155" s="49" t="s">
        <v>206</v>
      </c>
      <c r="D155" s="139">
        <v>3.0057999999999998</v>
      </c>
      <c r="E155" s="94">
        <f>Tabel12[[#This Row],[Basistarief HH]]*2</f>
        <v>6.0115999999999996</v>
      </c>
      <c r="F155" s="139">
        <v>4.8536000000000001</v>
      </c>
      <c r="G155" s="139">
        <v>1.9971000000000001</v>
      </c>
    </row>
    <row r="156" spans="1:7" ht="15.75">
      <c r="A156" s="48">
        <v>9080</v>
      </c>
      <c r="B156" s="49" t="s">
        <v>207</v>
      </c>
      <c r="C156" s="49" t="s">
        <v>206</v>
      </c>
      <c r="D156" s="139">
        <v>3.0057999999999998</v>
      </c>
      <c r="E156" s="94">
        <f>Tabel12[[#This Row],[Basistarief HH]]*2</f>
        <v>6.0115999999999996</v>
      </c>
      <c r="F156" s="139">
        <v>4.8536000000000001</v>
      </c>
      <c r="G156" s="139">
        <v>1.9971000000000001</v>
      </c>
    </row>
    <row r="157" spans="1:7" ht="15.75">
      <c r="A157" s="48">
        <v>9080</v>
      </c>
      <c r="B157" s="49" t="s">
        <v>208</v>
      </c>
      <c r="C157" s="49" t="s">
        <v>206</v>
      </c>
      <c r="D157" s="139">
        <v>3.0057999999999998</v>
      </c>
      <c r="E157" s="94">
        <f>Tabel12[[#This Row],[Basistarief HH]]*2</f>
        <v>6.0115999999999996</v>
      </c>
      <c r="F157" s="139">
        <v>4.8536000000000001</v>
      </c>
      <c r="G157" s="139">
        <v>1.9971000000000001</v>
      </c>
    </row>
    <row r="158" spans="1:7" ht="15.75">
      <c r="A158" s="48">
        <v>9080</v>
      </c>
      <c r="B158" s="49" t="s">
        <v>209</v>
      </c>
      <c r="C158" s="49" t="s">
        <v>206</v>
      </c>
      <c r="D158" s="139">
        <v>3.0057999999999998</v>
      </c>
      <c r="E158" s="94">
        <f>Tabel12[[#This Row],[Basistarief HH]]*2</f>
        <v>6.0115999999999996</v>
      </c>
      <c r="F158" s="139">
        <v>4.8536000000000001</v>
      </c>
      <c r="G158" s="139">
        <v>1.9971000000000001</v>
      </c>
    </row>
    <row r="159" spans="1:7" ht="15.75">
      <c r="A159" s="48">
        <v>9920</v>
      </c>
      <c r="B159" s="49" t="s">
        <v>210</v>
      </c>
      <c r="C159" s="49" t="s">
        <v>374</v>
      </c>
      <c r="D159" s="139">
        <v>3.0057999999999998</v>
      </c>
      <c r="E159" s="94">
        <f>Tabel12[[#This Row],[Basistarief HH]]*2</f>
        <v>6.0115999999999996</v>
      </c>
      <c r="F159" s="139">
        <v>4.8536000000000001</v>
      </c>
      <c r="G159" s="139">
        <v>1.9971000000000001</v>
      </c>
    </row>
    <row r="160" spans="1:7" ht="15.75">
      <c r="A160" s="48">
        <v>9921</v>
      </c>
      <c r="B160" s="49" t="s">
        <v>211</v>
      </c>
      <c r="C160" s="49" t="s">
        <v>374</v>
      </c>
      <c r="D160" s="139">
        <v>3.0057999999999998</v>
      </c>
      <c r="E160" s="94">
        <f>Tabel12[[#This Row],[Basistarief HH]]*2</f>
        <v>6.0115999999999996</v>
      </c>
      <c r="F160" s="139">
        <v>4.8536000000000001</v>
      </c>
      <c r="G160" s="139">
        <v>1.9971000000000001</v>
      </c>
    </row>
    <row r="161" spans="1:7" ht="15.75">
      <c r="A161" s="48">
        <v>9680</v>
      </c>
      <c r="B161" s="49" t="s">
        <v>212</v>
      </c>
      <c r="C161" s="49" t="s">
        <v>213</v>
      </c>
      <c r="D161" s="139">
        <v>3.0057999999999998</v>
      </c>
      <c r="E161" s="94">
        <f>Tabel12[[#This Row],[Basistarief HH]]*2</f>
        <v>6.0115999999999996</v>
      </c>
      <c r="F161" s="139">
        <v>4.8536000000000001</v>
      </c>
      <c r="G161" s="139">
        <v>1.9971000000000001</v>
      </c>
    </row>
    <row r="162" spans="1:7" ht="15.75">
      <c r="A162" s="48">
        <v>9680</v>
      </c>
      <c r="B162" s="49" t="s">
        <v>214</v>
      </c>
      <c r="C162" s="49" t="s">
        <v>213</v>
      </c>
      <c r="D162" s="139">
        <v>3.0057999999999998</v>
      </c>
      <c r="E162" s="94">
        <f>Tabel12[[#This Row],[Basistarief HH]]*2</f>
        <v>6.0115999999999996</v>
      </c>
      <c r="F162" s="139">
        <v>4.8536000000000001</v>
      </c>
      <c r="G162" s="139">
        <v>1.9971000000000001</v>
      </c>
    </row>
    <row r="163" spans="1:7" ht="15.75">
      <c r="A163" s="48">
        <v>9681</v>
      </c>
      <c r="B163" s="49" t="s">
        <v>215</v>
      </c>
      <c r="C163" s="49" t="s">
        <v>213</v>
      </c>
      <c r="D163" s="139">
        <v>3.0057999999999998</v>
      </c>
      <c r="E163" s="94">
        <f>Tabel12[[#This Row],[Basistarief HH]]*2</f>
        <v>6.0115999999999996</v>
      </c>
      <c r="F163" s="139">
        <v>4.8536000000000001</v>
      </c>
      <c r="G163" s="139">
        <v>1.9971000000000001</v>
      </c>
    </row>
    <row r="164" spans="1:7" ht="15.75">
      <c r="A164" s="48">
        <v>9688</v>
      </c>
      <c r="B164" s="49" t="s">
        <v>216</v>
      </c>
      <c r="C164" s="49" t="s">
        <v>213</v>
      </c>
      <c r="D164" s="139">
        <v>3.0057999999999998</v>
      </c>
      <c r="E164" s="94">
        <f>Tabel12[[#This Row],[Basistarief HH]]*2</f>
        <v>6.0115999999999996</v>
      </c>
      <c r="F164" s="139">
        <v>4.8536000000000001</v>
      </c>
      <c r="G164" s="139">
        <v>1.9971000000000001</v>
      </c>
    </row>
    <row r="165" spans="1:7" ht="15.75">
      <c r="A165" s="48">
        <v>1830</v>
      </c>
      <c r="B165" s="49" t="s">
        <v>217</v>
      </c>
      <c r="C165" s="49" t="s">
        <v>217</v>
      </c>
      <c r="D165" s="139">
        <v>3.0057999999999998</v>
      </c>
      <c r="E165" s="94">
        <f>Tabel12[[#This Row],[Basistarief HH]]*2</f>
        <v>6.0115999999999996</v>
      </c>
      <c r="F165" s="139">
        <v>4.8536000000000001</v>
      </c>
      <c r="G165" s="139">
        <v>1.9971000000000001</v>
      </c>
    </row>
    <row r="166" spans="1:7" ht="15.75">
      <c r="A166" s="48">
        <v>1831</v>
      </c>
      <c r="B166" s="49" t="s">
        <v>218</v>
      </c>
      <c r="C166" s="49" t="s">
        <v>217</v>
      </c>
      <c r="D166" s="139">
        <v>3.0057999999999998</v>
      </c>
      <c r="E166" s="94">
        <f>Tabel12[[#This Row],[Basistarief HH]]*2</f>
        <v>6.0115999999999996</v>
      </c>
      <c r="F166" s="139">
        <v>4.8536000000000001</v>
      </c>
      <c r="G166" s="139">
        <v>1.9971000000000001</v>
      </c>
    </row>
    <row r="167" spans="1:7" ht="15.75">
      <c r="A167" s="48">
        <v>9090</v>
      </c>
      <c r="B167" s="49" t="s">
        <v>219</v>
      </c>
      <c r="C167" s="49" t="s">
        <v>220</v>
      </c>
      <c r="D167" s="139">
        <v>3.0057999999999998</v>
      </c>
      <c r="E167" s="94">
        <f>Tabel12[[#This Row],[Basistarief HH]]*2</f>
        <v>6.0115999999999996</v>
      </c>
      <c r="F167" s="139">
        <v>4.8536000000000001</v>
      </c>
      <c r="G167" s="139">
        <v>1.9971000000000001</v>
      </c>
    </row>
    <row r="168" spans="1:7" ht="15.75">
      <c r="A168" s="48">
        <v>9090</v>
      </c>
      <c r="B168" s="49" t="s">
        <v>220</v>
      </c>
      <c r="C168" s="49" t="s">
        <v>220</v>
      </c>
      <c r="D168" s="139">
        <v>3.0057999999999998</v>
      </c>
      <c r="E168" s="94">
        <f>Tabel12[[#This Row],[Basistarief HH]]*2</f>
        <v>6.0115999999999996</v>
      </c>
      <c r="F168" s="139">
        <v>4.8536000000000001</v>
      </c>
      <c r="G168" s="139">
        <v>1.9971000000000001</v>
      </c>
    </row>
    <row r="169" spans="1:7" ht="15.75">
      <c r="A169" s="48">
        <v>9820</v>
      </c>
      <c r="B169" s="49" t="s">
        <v>221</v>
      </c>
      <c r="C169" s="49" t="s">
        <v>222</v>
      </c>
      <c r="D169" s="139">
        <v>3.0057999999999998</v>
      </c>
      <c r="E169" s="94">
        <f>Tabel12[[#This Row],[Basistarief HH]]*2</f>
        <v>6.0115999999999996</v>
      </c>
      <c r="F169" s="139">
        <v>4.8536000000000001</v>
      </c>
      <c r="G169" s="139">
        <v>1.9971000000000001</v>
      </c>
    </row>
    <row r="170" spans="1:7" ht="15.75">
      <c r="A170" s="48">
        <v>9820</v>
      </c>
      <c r="B170" s="49" t="s">
        <v>223</v>
      </c>
      <c r="C170" s="49" t="s">
        <v>222</v>
      </c>
      <c r="D170" s="139">
        <v>3.0057999999999998</v>
      </c>
      <c r="E170" s="94">
        <f>Tabel12[[#This Row],[Basistarief HH]]*2</f>
        <v>6.0115999999999996</v>
      </c>
      <c r="F170" s="139">
        <v>4.8536000000000001</v>
      </c>
      <c r="G170" s="139">
        <v>1.9971000000000001</v>
      </c>
    </row>
    <row r="171" spans="1:7" ht="15.75">
      <c r="A171" s="48">
        <v>9820</v>
      </c>
      <c r="B171" s="49" t="s">
        <v>224</v>
      </c>
      <c r="C171" s="49" t="s">
        <v>222</v>
      </c>
      <c r="D171" s="139">
        <v>3.0057999999999998</v>
      </c>
      <c r="E171" s="94">
        <f>Tabel12[[#This Row],[Basistarief HH]]*2</f>
        <v>6.0115999999999996</v>
      </c>
      <c r="F171" s="139">
        <v>4.8536000000000001</v>
      </c>
      <c r="G171" s="139">
        <v>1.9971000000000001</v>
      </c>
    </row>
    <row r="172" spans="1:7" ht="15.75">
      <c r="A172" s="48">
        <v>9820</v>
      </c>
      <c r="B172" s="49" t="s">
        <v>222</v>
      </c>
      <c r="C172" s="49" t="s">
        <v>222</v>
      </c>
      <c r="D172" s="139">
        <v>3.0057999999999998</v>
      </c>
      <c r="E172" s="94">
        <f>Tabel12[[#This Row],[Basistarief HH]]*2</f>
        <v>6.0115999999999996</v>
      </c>
      <c r="F172" s="139">
        <v>4.8536000000000001</v>
      </c>
      <c r="G172" s="139">
        <v>1.9971000000000001</v>
      </c>
    </row>
    <row r="173" spans="1:7" ht="15.75">
      <c r="A173" s="48">
        <v>9820</v>
      </c>
      <c r="B173" s="49" t="s">
        <v>225</v>
      </c>
      <c r="C173" s="49" t="s">
        <v>222</v>
      </c>
      <c r="D173" s="139">
        <v>3.0057999999999998</v>
      </c>
      <c r="E173" s="94">
        <f>Tabel12[[#This Row],[Basistarief HH]]*2</f>
        <v>6.0115999999999996</v>
      </c>
      <c r="F173" s="139">
        <v>4.8536000000000001</v>
      </c>
      <c r="G173" s="139">
        <v>1.9971000000000001</v>
      </c>
    </row>
    <row r="174" spans="1:7" ht="15.75">
      <c r="A174" s="48">
        <v>9820</v>
      </c>
      <c r="B174" s="49" t="s">
        <v>226</v>
      </c>
      <c r="C174" s="49" t="s">
        <v>222</v>
      </c>
      <c r="D174" s="139">
        <v>3.0057999999999998</v>
      </c>
      <c r="E174" s="94">
        <f>Tabel12[[#This Row],[Basistarief HH]]*2</f>
        <v>6.0115999999999996</v>
      </c>
      <c r="F174" s="139">
        <v>4.8536000000000001</v>
      </c>
      <c r="G174" s="139">
        <v>1.9971000000000001</v>
      </c>
    </row>
    <row r="175" spans="1:7" ht="15.75">
      <c r="A175" s="48">
        <v>8433</v>
      </c>
      <c r="B175" s="49" t="s">
        <v>227</v>
      </c>
      <c r="C175" s="49" t="s">
        <v>228</v>
      </c>
      <c r="D175" s="139">
        <v>3.0057999999999998</v>
      </c>
      <c r="E175" s="94">
        <f>Tabel12[[#This Row],[Basistarief HH]]*2</f>
        <v>6.0115999999999996</v>
      </c>
      <c r="F175" s="139">
        <v>4.8536000000000001</v>
      </c>
      <c r="G175" s="139">
        <v>1.9971000000000001</v>
      </c>
    </row>
    <row r="176" spans="1:7" ht="15.75">
      <c r="A176" s="48">
        <v>8434</v>
      </c>
      <c r="B176" s="49" t="s">
        <v>229</v>
      </c>
      <c r="C176" s="49" t="s">
        <v>228</v>
      </c>
      <c r="D176" s="139">
        <v>3.0057999999999998</v>
      </c>
      <c r="E176" s="94">
        <f>Tabel12[[#This Row],[Basistarief HH]]*2</f>
        <v>6.0115999999999996</v>
      </c>
      <c r="F176" s="139">
        <v>4.8536000000000001</v>
      </c>
      <c r="G176" s="139">
        <v>1.9971000000000001</v>
      </c>
    </row>
    <row r="177" spans="1:7" ht="15.75">
      <c r="A177" s="48">
        <v>8433</v>
      </c>
      <c r="B177" s="49" t="s">
        <v>230</v>
      </c>
      <c r="C177" s="49" t="s">
        <v>228</v>
      </c>
      <c r="D177" s="139">
        <v>3.0057999999999998</v>
      </c>
      <c r="E177" s="94">
        <f>Tabel12[[#This Row],[Basistarief HH]]*2</f>
        <v>6.0115999999999996</v>
      </c>
      <c r="F177" s="139">
        <v>4.8536000000000001</v>
      </c>
      <c r="G177" s="139">
        <v>1.9971000000000001</v>
      </c>
    </row>
    <row r="178" spans="1:7" ht="15.75">
      <c r="A178" s="48">
        <v>8430</v>
      </c>
      <c r="B178" s="49" t="s">
        <v>228</v>
      </c>
      <c r="C178" s="49" t="s">
        <v>228</v>
      </c>
      <c r="D178" s="139">
        <v>3.0057999999999998</v>
      </c>
      <c r="E178" s="94">
        <f>Tabel12[[#This Row],[Basistarief HH]]*2</f>
        <v>6.0115999999999996</v>
      </c>
      <c r="F178" s="139">
        <v>4.8536000000000001</v>
      </c>
      <c r="G178" s="139">
        <v>1.9971000000000001</v>
      </c>
    </row>
    <row r="179" spans="1:7" ht="15.75">
      <c r="A179" s="48">
        <v>8433</v>
      </c>
      <c r="B179" s="49" t="s">
        <v>231</v>
      </c>
      <c r="C179" s="49" t="s">
        <v>228</v>
      </c>
      <c r="D179" s="139">
        <v>3.0057999999999998</v>
      </c>
      <c r="E179" s="94">
        <f>Tabel12[[#This Row],[Basistarief HH]]*2</f>
        <v>6.0115999999999996</v>
      </c>
      <c r="F179" s="139">
        <v>4.8536000000000001</v>
      </c>
      <c r="G179" s="139">
        <v>1.9971000000000001</v>
      </c>
    </row>
    <row r="180" spans="1:7" ht="15.75">
      <c r="A180" s="48">
        <v>8433</v>
      </c>
      <c r="B180" s="49" t="s">
        <v>232</v>
      </c>
      <c r="C180" s="49" t="s">
        <v>228</v>
      </c>
      <c r="D180" s="139">
        <v>3.0057999999999998</v>
      </c>
      <c r="E180" s="94">
        <f>Tabel12[[#This Row],[Basistarief HH]]*2</f>
        <v>6.0115999999999996</v>
      </c>
      <c r="F180" s="139">
        <v>4.8536000000000001</v>
      </c>
      <c r="G180" s="139">
        <v>1.9971000000000001</v>
      </c>
    </row>
    <row r="181" spans="1:7" ht="15.75">
      <c r="A181" s="48">
        <v>8434</v>
      </c>
      <c r="B181" s="49" t="s">
        <v>233</v>
      </c>
      <c r="C181" s="49" t="s">
        <v>228</v>
      </c>
      <c r="D181" s="139">
        <v>3.0057999999999998</v>
      </c>
      <c r="E181" s="94">
        <f>Tabel12[[#This Row],[Basistarief HH]]*2</f>
        <v>6.0115999999999996</v>
      </c>
      <c r="F181" s="139">
        <v>4.8536000000000001</v>
      </c>
      <c r="G181" s="139">
        <v>1.9971000000000001</v>
      </c>
    </row>
    <row r="182" spans="1:7" ht="15.75">
      <c r="A182" s="48">
        <v>8431</v>
      </c>
      <c r="B182" s="49" t="s">
        <v>234</v>
      </c>
      <c r="C182" s="49" t="s">
        <v>228</v>
      </c>
      <c r="D182" s="139">
        <v>3.0057999999999998</v>
      </c>
      <c r="E182" s="94">
        <f>Tabel12[[#This Row],[Basistarief HH]]*2</f>
        <v>6.0115999999999996</v>
      </c>
      <c r="F182" s="139">
        <v>4.8536000000000001</v>
      </c>
      <c r="G182" s="139">
        <v>1.9971000000000001</v>
      </c>
    </row>
    <row r="183" spans="1:7" ht="15.75">
      <c r="A183" s="48">
        <v>8432</v>
      </c>
      <c r="B183" s="49" t="s">
        <v>235</v>
      </c>
      <c r="C183" s="49" t="s">
        <v>228</v>
      </c>
      <c r="D183" s="139">
        <v>3.0057999999999998</v>
      </c>
      <c r="E183" s="94">
        <f>Tabel12[[#This Row],[Basistarief HH]]*2</f>
        <v>6.0115999999999996</v>
      </c>
      <c r="F183" s="139">
        <v>4.8536000000000001</v>
      </c>
      <c r="G183" s="139">
        <v>1.9971000000000001</v>
      </c>
    </row>
    <row r="184" spans="1:7" ht="15.75">
      <c r="A184" s="48">
        <v>8890</v>
      </c>
      <c r="B184" s="49" t="s">
        <v>236</v>
      </c>
      <c r="C184" s="49" t="s">
        <v>236</v>
      </c>
      <c r="D184" s="139">
        <v>3.0057999999999998</v>
      </c>
      <c r="E184" s="94">
        <f>Tabel12[[#This Row],[Basistarief HH]]*2</f>
        <v>6.0115999999999996</v>
      </c>
      <c r="F184" s="139">
        <v>4.8536000000000001</v>
      </c>
      <c r="G184" s="139">
        <v>1.9971000000000001</v>
      </c>
    </row>
    <row r="185" spans="1:7" ht="15.75">
      <c r="A185" s="48">
        <v>9810</v>
      </c>
      <c r="B185" s="49" t="s">
        <v>237</v>
      </c>
      <c r="C185" s="49" t="s">
        <v>238</v>
      </c>
      <c r="D185" s="139">
        <v>3.0057999999999998</v>
      </c>
      <c r="E185" s="94">
        <f>Tabel12[[#This Row],[Basistarief HH]]*2</f>
        <v>6.0115999999999996</v>
      </c>
      <c r="F185" s="139">
        <v>4.8536000000000001</v>
      </c>
      <c r="G185" s="139">
        <v>1.9971000000000001</v>
      </c>
    </row>
    <row r="186" spans="1:7" ht="15.75">
      <c r="A186" s="48">
        <v>9810</v>
      </c>
      <c r="B186" s="49" t="s">
        <v>238</v>
      </c>
      <c r="C186" s="49" t="s">
        <v>238</v>
      </c>
      <c r="D186" s="139">
        <v>3.0057999999999998</v>
      </c>
      <c r="E186" s="94">
        <f>Tabel12[[#This Row],[Basistarief HH]]*2</f>
        <v>6.0115999999999996</v>
      </c>
      <c r="F186" s="139">
        <v>4.8536000000000001</v>
      </c>
      <c r="G186" s="139">
        <v>1.9971000000000001</v>
      </c>
    </row>
    <row r="187" spans="1:7" ht="15.75">
      <c r="A187" s="48">
        <v>9850</v>
      </c>
      <c r="B187" s="49" t="s">
        <v>239</v>
      </c>
      <c r="C187" s="49" t="s">
        <v>110</v>
      </c>
      <c r="D187" s="139">
        <v>3.0057999999999998</v>
      </c>
      <c r="E187" s="94">
        <f>Tabel12[[#This Row],[Basistarief HH]]*2</f>
        <v>6.0115999999999996</v>
      </c>
      <c r="F187" s="139">
        <v>4.8536000000000001</v>
      </c>
      <c r="G187" s="139">
        <v>1.9971000000000001</v>
      </c>
    </row>
    <row r="188" spans="1:7" ht="15.75">
      <c r="A188" s="48">
        <v>9850</v>
      </c>
      <c r="B188" s="49" t="s">
        <v>241</v>
      </c>
      <c r="C188" s="49" t="s">
        <v>110</v>
      </c>
      <c r="D188" s="139">
        <v>3.0057999999999998</v>
      </c>
      <c r="E188" s="94">
        <f>Tabel12[[#This Row],[Basistarief HH]]*2</f>
        <v>6.0115999999999996</v>
      </c>
      <c r="F188" s="139">
        <v>4.8536000000000001</v>
      </c>
      <c r="G188" s="139">
        <v>1.9971000000000001</v>
      </c>
    </row>
    <row r="189" spans="1:7" ht="15.75">
      <c r="A189" s="48">
        <v>9850</v>
      </c>
      <c r="B189" s="49" t="s">
        <v>242</v>
      </c>
      <c r="C189" s="49" t="s">
        <v>110</v>
      </c>
      <c r="D189" s="139">
        <v>3.0057999999999998</v>
      </c>
      <c r="E189" s="94">
        <f>Tabel12[[#This Row],[Basistarief HH]]*2</f>
        <v>6.0115999999999996</v>
      </c>
      <c r="F189" s="139">
        <v>4.8536000000000001</v>
      </c>
      <c r="G189" s="139">
        <v>1.9971000000000001</v>
      </c>
    </row>
    <row r="190" spans="1:7" ht="15.75">
      <c r="A190" s="48">
        <v>9850</v>
      </c>
      <c r="B190" s="49" t="s">
        <v>240</v>
      </c>
      <c r="C190" s="49" t="s">
        <v>110</v>
      </c>
      <c r="D190" s="139">
        <v>3.0057999999999998</v>
      </c>
      <c r="E190" s="94">
        <f>Tabel12[[#This Row],[Basistarief HH]]*2</f>
        <v>6.0115999999999996</v>
      </c>
      <c r="F190" s="139">
        <v>4.8536000000000001</v>
      </c>
      <c r="G190" s="139">
        <v>1.9971000000000001</v>
      </c>
    </row>
    <row r="191" spans="1:7" ht="15.75">
      <c r="A191" s="48">
        <v>9850</v>
      </c>
      <c r="B191" s="49" t="s">
        <v>243</v>
      </c>
      <c r="C191" s="49" t="s">
        <v>110</v>
      </c>
      <c r="D191" s="139">
        <v>3.0057999999999998</v>
      </c>
      <c r="E191" s="94">
        <f>Tabel12[[#This Row],[Basistarief HH]]*2</f>
        <v>6.0115999999999996</v>
      </c>
      <c r="F191" s="139">
        <v>4.8536000000000001</v>
      </c>
      <c r="G191" s="139">
        <v>1.9971000000000001</v>
      </c>
    </row>
    <row r="192" spans="1:7" ht="15.75">
      <c r="A192" s="48">
        <v>9850</v>
      </c>
      <c r="B192" s="49" t="s">
        <v>244</v>
      </c>
      <c r="C192" s="49" t="s">
        <v>110</v>
      </c>
      <c r="D192" s="139">
        <v>3.0057999999999998</v>
      </c>
      <c r="E192" s="94">
        <f>Tabel12[[#This Row],[Basistarief HH]]*2</f>
        <v>6.0115999999999996</v>
      </c>
      <c r="F192" s="139">
        <v>4.8536000000000001</v>
      </c>
      <c r="G192" s="139">
        <v>1.9971000000000001</v>
      </c>
    </row>
    <row r="193" spans="1:7" ht="15.75">
      <c r="A193" s="48">
        <v>8400</v>
      </c>
      <c r="B193" s="49" t="s">
        <v>245</v>
      </c>
      <c r="C193" s="49" t="s">
        <v>246</v>
      </c>
      <c r="D193" s="139">
        <v>3.0057999999999998</v>
      </c>
      <c r="E193" s="94">
        <f>Tabel12[[#This Row],[Basistarief HH]]*2</f>
        <v>6.0115999999999996</v>
      </c>
      <c r="F193" s="139">
        <v>4.8536000000000001</v>
      </c>
      <c r="G193" s="139">
        <v>1.9971000000000001</v>
      </c>
    </row>
    <row r="194" spans="1:7" ht="15.75">
      <c r="A194" s="48">
        <v>8400</v>
      </c>
      <c r="B194" s="49" t="s">
        <v>246</v>
      </c>
      <c r="C194" s="49" t="s">
        <v>246</v>
      </c>
      <c r="D194" s="139">
        <v>3.0057999999999998</v>
      </c>
      <c r="E194" s="94">
        <f>Tabel12[[#This Row],[Basistarief HH]]*2</f>
        <v>6.0115999999999996</v>
      </c>
      <c r="F194" s="139">
        <v>4.8536000000000001</v>
      </c>
      <c r="G194" s="139">
        <v>1.9971000000000001</v>
      </c>
    </row>
    <row r="195" spans="1:7" ht="15.75">
      <c r="A195" s="48">
        <v>8400</v>
      </c>
      <c r="B195" s="49" t="s">
        <v>247</v>
      </c>
      <c r="C195" s="49" t="s">
        <v>246</v>
      </c>
      <c r="D195" s="139">
        <v>3.0057999999999998</v>
      </c>
      <c r="E195" s="94">
        <f>Tabel12[[#This Row],[Basistarief HH]]*2</f>
        <v>6.0115999999999996</v>
      </c>
      <c r="F195" s="139">
        <v>4.8536000000000001</v>
      </c>
      <c r="G195" s="139">
        <v>1.9971000000000001</v>
      </c>
    </row>
    <row r="196" spans="1:7" ht="15.75">
      <c r="A196" s="48">
        <v>8400</v>
      </c>
      <c r="B196" s="49" t="s">
        <v>248</v>
      </c>
      <c r="C196" s="49" t="s">
        <v>246</v>
      </c>
      <c r="D196" s="139">
        <v>3.0057999999999998</v>
      </c>
      <c r="E196" s="94">
        <f>Tabel12[[#This Row],[Basistarief HH]]*2</f>
        <v>6.0115999999999996</v>
      </c>
      <c r="F196" s="139">
        <v>4.8536000000000001</v>
      </c>
      <c r="G196" s="139">
        <v>1.9971000000000001</v>
      </c>
    </row>
    <row r="197" spans="1:7" ht="15.75">
      <c r="A197" s="48">
        <v>8400</v>
      </c>
      <c r="B197" s="49" t="s">
        <v>249</v>
      </c>
      <c r="C197" s="49" t="s">
        <v>246</v>
      </c>
      <c r="D197" s="139">
        <v>3.0057999999999998</v>
      </c>
      <c r="E197" s="94">
        <f>Tabel12[[#This Row],[Basistarief HH]]*2</f>
        <v>6.0115999999999996</v>
      </c>
      <c r="F197" s="139">
        <v>4.8536000000000001</v>
      </c>
      <c r="G197" s="139">
        <v>1.9971000000000001</v>
      </c>
    </row>
    <row r="198" spans="1:7" ht="15.75">
      <c r="A198" s="48">
        <v>9860</v>
      </c>
      <c r="B198" s="49" t="s">
        <v>250</v>
      </c>
      <c r="C198" s="49" t="s">
        <v>251</v>
      </c>
      <c r="D198" s="139">
        <v>3.0057999999999998</v>
      </c>
      <c r="E198" s="94">
        <f>Tabel12[[#This Row],[Basistarief HH]]*2</f>
        <v>6.0115999999999996</v>
      </c>
      <c r="F198" s="139">
        <v>4.8536000000000001</v>
      </c>
      <c r="G198" s="139">
        <v>1.9971000000000001</v>
      </c>
    </row>
    <row r="199" spans="1:7" ht="15.75">
      <c r="A199" s="48">
        <v>9860</v>
      </c>
      <c r="B199" s="49" t="s">
        <v>252</v>
      </c>
      <c r="C199" s="49" t="s">
        <v>251</v>
      </c>
      <c r="D199" s="139">
        <v>3.0057999999999998</v>
      </c>
      <c r="E199" s="94">
        <f>Tabel12[[#This Row],[Basistarief HH]]*2</f>
        <v>6.0115999999999996</v>
      </c>
      <c r="F199" s="139">
        <v>4.8536000000000001</v>
      </c>
      <c r="G199" s="139">
        <v>1.9971000000000001</v>
      </c>
    </row>
    <row r="200" spans="1:7" ht="15.75">
      <c r="A200" s="48">
        <v>9860</v>
      </c>
      <c r="B200" s="49" t="s">
        <v>253</v>
      </c>
      <c r="C200" s="49" t="s">
        <v>251</v>
      </c>
      <c r="D200" s="139">
        <v>3.0057999999999998</v>
      </c>
      <c r="E200" s="94">
        <f>Tabel12[[#This Row],[Basistarief HH]]*2</f>
        <v>6.0115999999999996</v>
      </c>
      <c r="F200" s="139">
        <v>4.8536000000000001</v>
      </c>
      <c r="G200" s="139">
        <v>1.9971000000000001</v>
      </c>
    </row>
    <row r="201" spans="1:7" ht="15.75">
      <c r="A201" s="48">
        <v>9860</v>
      </c>
      <c r="B201" s="49" t="s">
        <v>254</v>
      </c>
      <c r="C201" s="49" t="s">
        <v>251</v>
      </c>
      <c r="D201" s="139">
        <v>3.0057999999999998</v>
      </c>
      <c r="E201" s="94">
        <f>Tabel12[[#This Row],[Basistarief HH]]*2</f>
        <v>6.0115999999999996</v>
      </c>
      <c r="F201" s="139">
        <v>4.8536000000000001</v>
      </c>
      <c r="G201" s="139">
        <v>1.9971000000000001</v>
      </c>
    </row>
    <row r="202" spans="1:7" ht="15.75">
      <c r="A202" s="48">
        <v>9860</v>
      </c>
      <c r="B202" s="49" t="s">
        <v>251</v>
      </c>
      <c r="C202" s="49" t="s">
        <v>251</v>
      </c>
      <c r="D202" s="139">
        <v>3.0057999999999998</v>
      </c>
      <c r="E202" s="94">
        <f>Tabel12[[#This Row],[Basistarief HH]]*2</f>
        <v>6.0115999999999996</v>
      </c>
      <c r="F202" s="139">
        <v>4.8536000000000001</v>
      </c>
      <c r="G202" s="139">
        <v>1.9971000000000001</v>
      </c>
    </row>
    <row r="203" spans="1:7" ht="15.75">
      <c r="A203" s="48">
        <v>9860</v>
      </c>
      <c r="B203" s="49" t="s">
        <v>255</v>
      </c>
      <c r="C203" s="49" t="s">
        <v>251</v>
      </c>
      <c r="D203" s="139">
        <v>3.0057999999999998</v>
      </c>
      <c r="E203" s="94">
        <f>Tabel12[[#This Row],[Basistarief HH]]*2</f>
        <v>6.0115999999999996</v>
      </c>
      <c r="F203" s="139">
        <v>4.8536000000000001</v>
      </c>
      <c r="G203" s="139">
        <v>1.9971000000000001</v>
      </c>
    </row>
    <row r="204" spans="1:7" ht="15.75">
      <c r="A204" s="48">
        <v>8020</v>
      </c>
      <c r="B204" s="49" t="s">
        <v>256</v>
      </c>
      <c r="C204" s="49" t="s">
        <v>256</v>
      </c>
      <c r="D204" s="139">
        <v>3.0057999999999998</v>
      </c>
      <c r="E204" s="94">
        <f>Tabel12[[#This Row],[Basistarief HH]]*2</f>
        <v>6.0115999999999996</v>
      </c>
      <c r="F204" s="139">
        <v>4.8536000000000001</v>
      </c>
      <c r="G204" s="139">
        <v>1.9971000000000001</v>
      </c>
    </row>
    <row r="205" spans="1:7" ht="15.75">
      <c r="A205" s="48">
        <v>8020</v>
      </c>
      <c r="B205" s="49" t="s">
        <v>257</v>
      </c>
      <c r="C205" s="49" t="s">
        <v>256</v>
      </c>
      <c r="D205" s="139">
        <v>3.0057999999999998</v>
      </c>
      <c r="E205" s="94">
        <f>Tabel12[[#This Row],[Basistarief HH]]*2</f>
        <v>6.0115999999999996</v>
      </c>
      <c r="F205" s="139">
        <v>4.8536000000000001</v>
      </c>
      <c r="G205" s="139">
        <v>1.9971000000000001</v>
      </c>
    </row>
    <row r="206" spans="1:7" ht="15.75">
      <c r="A206" s="48">
        <v>8020</v>
      </c>
      <c r="B206" s="49" t="s">
        <v>258</v>
      </c>
      <c r="C206" s="49" t="s">
        <v>256</v>
      </c>
      <c r="D206" s="139">
        <v>3.0057999999999998</v>
      </c>
      <c r="E206" s="94">
        <f>Tabel12[[#This Row],[Basistarief HH]]*2</f>
        <v>6.0115999999999996</v>
      </c>
      <c r="F206" s="139">
        <v>4.8536000000000001</v>
      </c>
      <c r="G206" s="139">
        <v>1.9971000000000001</v>
      </c>
    </row>
    <row r="207" spans="1:7" ht="15.75">
      <c r="A207" s="48">
        <v>8020</v>
      </c>
      <c r="B207" s="49" t="s">
        <v>259</v>
      </c>
      <c r="C207" s="49" t="s">
        <v>256</v>
      </c>
      <c r="D207" s="139">
        <v>3.0057999999999998</v>
      </c>
      <c r="E207" s="94">
        <f>Tabel12[[#This Row],[Basistarief HH]]*2</f>
        <v>6.0115999999999996</v>
      </c>
      <c r="F207" s="139">
        <v>4.8536000000000001</v>
      </c>
      <c r="G207" s="139">
        <v>1.9971000000000001</v>
      </c>
    </row>
    <row r="208" spans="1:7" ht="15.75">
      <c r="A208" s="48">
        <v>9700</v>
      </c>
      <c r="B208" s="49" t="s">
        <v>260</v>
      </c>
      <c r="C208" s="49" t="s">
        <v>261</v>
      </c>
      <c r="D208" s="139">
        <v>3.0057999999999998</v>
      </c>
      <c r="E208" s="94">
        <f>Tabel12[[#This Row],[Basistarief HH]]*2</f>
        <v>6.0115999999999996</v>
      </c>
      <c r="F208" s="139">
        <v>4.8536000000000001</v>
      </c>
      <c r="G208" s="139">
        <v>1.9971000000000001</v>
      </c>
    </row>
    <row r="209" spans="1:7" ht="15.75">
      <c r="A209" s="48">
        <v>9700</v>
      </c>
      <c r="B209" s="49" t="s">
        <v>262</v>
      </c>
      <c r="C209" s="49" t="s">
        <v>261</v>
      </c>
      <c r="D209" s="139">
        <v>3.0057999999999998</v>
      </c>
      <c r="E209" s="94">
        <f>Tabel12[[#This Row],[Basistarief HH]]*2</f>
        <v>6.0115999999999996</v>
      </c>
      <c r="F209" s="139">
        <v>4.8536000000000001</v>
      </c>
      <c r="G209" s="139">
        <v>1.9971000000000001</v>
      </c>
    </row>
    <row r="210" spans="1:7" ht="15.75">
      <c r="A210" s="48">
        <v>9700</v>
      </c>
      <c r="B210" s="49" t="s">
        <v>263</v>
      </c>
      <c r="C210" s="49" t="s">
        <v>261</v>
      </c>
      <c r="D210" s="139">
        <v>3.0057999999999998</v>
      </c>
      <c r="E210" s="94">
        <f>Tabel12[[#This Row],[Basistarief HH]]*2</f>
        <v>6.0115999999999996</v>
      </c>
      <c r="F210" s="139">
        <v>4.8536000000000001</v>
      </c>
      <c r="G210" s="139">
        <v>1.9971000000000001</v>
      </c>
    </row>
    <row r="211" spans="1:7" ht="15.75">
      <c r="A211" s="48">
        <v>9700</v>
      </c>
      <c r="B211" s="49" t="s">
        <v>264</v>
      </c>
      <c r="C211" s="49" t="s">
        <v>261</v>
      </c>
      <c r="D211" s="139">
        <v>3.0057999999999998</v>
      </c>
      <c r="E211" s="94">
        <f>Tabel12[[#This Row],[Basistarief HH]]*2</f>
        <v>6.0115999999999996</v>
      </c>
      <c r="F211" s="139">
        <v>4.8536000000000001</v>
      </c>
      <c r="G211" s="139">
        <v>1.9971000000000001</v>
      </c>
    </row>
    <row r="212" spans="1:7" ht="15.75">
      <c r="A212" s="48">
        <v>9700</v>
      </c>
      <c r="B212" s="49" t="s">
        <v>265</v>
      </c>
      <c r="C212" s="49" t="s">
        <v>261</v>
      </c>
      <c r="D212" s="139">
        <v>3.0057999999999998</v>
      </c>
      <c r="E212" s="94">
        <f>Tabel12[[#This Row],[Basistarief HH]]*2</f>
        <v>6.0115999999999996</v>
      </c>
      <c r="F212" s="139">
        <v>4.8536000000000001</v>
      </c>
      <c r="G212" s="139">
        <v>1.9971000000000001</v>
      </c>
    </row>
    <row r="213" spans="1:7" ht="15.75">
      <c r="A213" s="48">
        <v>9700</v>
      </c>
      <c r="B213" s="49" t="s">
        <v>266</v>
      </c>
      <c r="C213" s="49" t="s">
        <v>261</v>
      </c>
      <c r="D213" s="139">
        <v>3.0057999999999998</v>
      </c>
      <c r="E213" s="94">
        <f>Tabel12[[#This Row],[Basistarief HH]]*2</f>
        <v>6.0115999999999996</v>
      </c>
      <c r="F213" s="139">
        <v>4.8536000000000001</v>
      </c>
      <c r="G213" s="139">
        <v>1.9971000000000001</v>
      </c>
    </row>
    <row r="214" spans="1:7" ht="15.75">
      <c r="A214" s="48">
        <v>9700</v>
      </c>
      <c r="B214" s="49" t="s">
        <v>267</v>
      </c>
      <c r="C214" s="49" t="s">
        <v>261</v>
      </c>
      <c r="D214" s="139">
        <v>3.0057999999999998</v>
      </c>
      <c r="E214" s="94">
        <f>Tabel12[[#This Row],[Basistarief HH]]*2</f>
        <v>6.0115999999999996</v>
      </c>
      <c r="F214" s="139">
        <v>4.8536000000000001</v>
      </c>
      <c r="G214" s="139">
        <v>1.9971000000000001</v>
      </c>
    </row>
    <row r="215" spans="1:7" ht="15.75">
      <c r="A215" s="48">
        <v>9700</v>
      </c>
      <c r="B215" s="49" t="s">
        <v>268</v>
      </c>
      <c r="C215" s="49" t="s">
        <v>261</v>
      </c>
      <c r="D215" s="139">
        <v>3.0057999999999998</v>
      </c>
      <c r="E215" s="94">
        <f>Tabel12[[#This Row],[Basistarief HH]]*2</f>
        <v>6.0115999999999996</v>
      </c>
      <c r="F215" s="139">
        <v>4.8536000000000001</v>
      </c>
      <c r="G215" s="139">
        <v>1.9971000000000001</v>
      </c>
    </row>
    <row r="216" spans="1:7" ht="15.75">
      <c r="A216" s="48">
        <v>9700</v>
      </c>
      <c r="B216" s="49" t="s">
        <v>269</v>
      </c>
      <c r="C216" s="49" t="s">
        <v>261</v>
      </c>
      <c r="D216" s="139">
        <v>3.0057999999999998</v>
      </c>
      <c r="E216" s="94">
        <f>Tabel12[[#This Row],[Basistarief HH]]*2</f>
        <v>6.0115999999999996</v>
      </c>
      <c r="F216" s="139">
        <v>4.8536000000000001</v>
      </c>
      <c r="G216" s="139">
        <v>1.9971000000000001</v>
      </c>
    </row>
    <row r="217" spans="1:7" ht="15.75">
      <c r="A217" s="48">
        <v>9700</v>
      </c>
      <c r="B217" s="49" t="s">
        <v>270</v>
      </c>
      <c r="C217" s="49" t="s">
        <v>261</v>
      </c>
      <c r="D217" s="139">
        <v>3.0057999999999998</v>
      </c>
      <c r="E217" s="94">
        <f>Tabel12[[#This Row],[Basistarief HH]]*2</f>
        <v>6.0115999999999996</v>
      </c>
      <c r="F217" s="139">
        <v>4.8536000000000001</v>
      </c>
      <c r="G217" s="139">
        <v>1.9971000000000001</v>
      </c>
    </row>
    <row r="218" spans="1:7" ht="15.75">
      <c r="A218" s="48">
        <v>9700</v>
      </c>
      <c r="B218" s="49" t="s">
        <v>271</v>
      </c>
      <c r="C218" s="49" t="s">
        <v>261</v>
      </c>
      <c r="D218" s="139">
        <v>3.0057999999999998</v>
      </c>
      <c r="E218" s="94">
        <f>Tabel12[[#This Row],[Basistarief HH]]*2</f>
        <v>6.0115999999999996</v>
      </c>
      <c r="F218" s="139">
        <v>4.8536000000000001</v>
      </c>
      <c r="G218" s="139">
        <v>1.9971000000000001</v>
      </c>
    </row>
    <row r="219" spans="1:7" ht="15.75">
      <c r="A219" s="48">
        <v>9700</v>
      </c>
      <c r="B219" s="49" t="s">
        <v>272</v>
      </c>
      <c r="C219" s="49" t="s">
        <v>261</v>
      </c>
      <c r="D219" s="139">
        <v>3.0057999999999998</v>
      </c>
      <c r="E219" s="94">
        <f>Tabel12[[#This Row],[Basistarief HH]]*2</f>
        <v>6.0115999999999996</v>
      </c>
      <c r="F219" s="139">
        <v>4.8536000000000001</v>
      </c>
      <c r="G219" s="139">
        <v>1.9971000000000001</v>
      </c>
    </row>
    <row r="220" spans="1:7" ht="15.75">
      <c r="A220" s="48">
        <v>9700</v>
      </c>
      <c r="B220" s="49" t="s">
        <v>273</v>
      </c>
      <c r="C220" s="49" t="s">
        <v>261</v>
      </c>
      <c r="D220" s="139">
        <v>3.0057999999999998</v>
      </c>
      <c r="E220" s="94">
        <f>Tabel12[[#This Row],[Basistarief HH]]*2</f>
        <v>6.0115999999999996</v>
      </c>
      <c r="F220" s="139">
        <v>4.8536000000000001</v>
      </c>
      <c r="G220" s="139">
        <v>1.9971000000000001</v>
      </c>
    </row>
    <row r="221" spans="1:7" ht="15.75">
      <c r="A221" s="48">
        <v>9700</v>
      </c>
      <c r="B221" s="49" t="s">
        <v>274</v>
      </c>
      <c r="C221" s="49" t="s">
        <v>261</v>
      </c>
      <c r="D221" s="139">
        <v>3.0057999999999998</v>
      </c>
      <c r="E221" s="94">
        <f>Tabel12[[#This Row],[Basistarief HH]]*2</f>
        <v>6.0115999999999996</v>
      </c>
      <c r="F221" s="139">
        <v>4.8536000000000001</v>
      </c>
      <c r="G221" s="139">
        <v>1.9971000000000001</v>
      </c>
    </row>
    <row r="222" spans="1:7" ht="15.75">
      <c r="A222" s="48">
        <v>9600</v>
      </c>
      <c r="B222" s="49" t="s">
        <v>275</v>
      </c>
      <c r="C222" s="49" t="s">
        <v>275</v>
      </c>
      <c r="D222" s="139">
        <v>3.0057999999999998</v>
      </c>
      <c r="E222" s="94">
        <f>Tabel12[[#This Row],[Basistarief HH]]*2</f>
        <v>6.0115999999999996</v>
      </c>
      <c r="F222" s="139">
        <v>4.8536000000000001</v>
      </c>
      <c r="G222" s="139">
        <v>1.9971000000000001</v>
      </c>
    </row>
    <row r="223" spans="1:7" ht="15.75">
      <c r="A223" s="48">
        <v>8755</v>
      </c>
      <c r="B223" s="49" t="s">
        <v>276</v>
      </c>
      <c r="C223" s="49" t="s">
        <v>276</v>
      </c>
      <c r="D223" s="139">
        <v>3.0057999999999998</v>
      </c>
      <c r="E223" s="94">
        <f>Tabel12[[#This Row],[Basistarief HH]]*2</f>
        <v>6.0115999999999996</v>
      </c>
      <c r="F223" s="139">
        <v>4.8536000000000001</v>
      </c>
      <c r="G223" s="139">
        <v>1.9971000000000001</v>
      </c>
    </row>
    <row r="224" spans="1:7" ht="15.75">
      <c r="A224" s="48">
        <v>9520</v>
      </c>
      <c r="B224" s="49" t="s">
        <v>277</v>
      </c>
      <c r="C224" s="49" t="s">
        <v>278</v>
      </c>
      <c r="D224" s="139">
        <v>3.0057999999999998</v>
      </c>
      <c r="E224" s="94">
        <f>Tabel12[[#This Row],[Basistarief HH]]*2</f>
        <v>6.0115999999999996</v>
      </c>
      <c r="F224" s="139">
        <v>4.8536000000000001</v>
      </c>
      <c r="G224" s="139">
        <v>1.9971000000000001</v>
      </c>
    </row>
    <row r="225" spans="1:7" ht="15.75">
      <c r="A225" s="48">
        <v>9521</v>
      </c>
      <c r="B225" s="49" t="s">
        <v>279</v>
      </c>
      <c r="C225" s="49" t="s">
        <v>278</v>
      </c>
      <c r="D225" s="139">
        <v>3.0057999999999998</v>
      </c>
      <c r="E225" s="94">
        <f>Tabel12[[#This Row],[Basistarief HH]]*2</f>
        <v>6.0115999999999996</v>
      </c>
      <c r="F225" s="139">
        <v>4.8536000000000001</v>
      </c>
      <c r="G225" s="139">
        <v>1.9971000000000001</v>
      </c>
    </row>
    <row r="226" spans="1:7" ht="15.75">
      <c r="A226" s="48">
        <v>9520</v>
      </c>
      <c r="B226" s="49" t="s">
        <v>278</v>
      </c>
      <c r="C226" s="49" t="s">
        <v>278</v>
      </c>
      <c r="D226" s="139">
        <v>3.0057999999999998</v>
      </c>
      <c r="E226" s="94">
        <f>Tabel12[[#This Row],[Basistarief HH]]*2</f>
        <v>6.0115999999999996</v>
      </c>
      <c r="F226" s="139">
        <v>4.8536000000000001</v>
      </c>
      <c r="G226" s="139">
        <v>1.9971000000000001</v>
      </c>
    </row>
    <row r="227" spans="1:7" ht="15.75">
      <c r="A227" s="48">
        <v>9520</v>
      </c>
      <c r="B227" s="49" t="s">
        <v>280</v>
      </c>
      <c r="C227" s="49" t="s">
        <v>278</v>
      </c>
      <c r="D227" s="139">
        <v>3.0057999999999998</v>
      </c>
      <c r="E227" s="94">
        <f>Tabel12[[#This Row],[Basistarief HH]]*2</f>
        <v>6.0115999999999996</v>
      </c>
      <c r="F227" s="139">
        <v>4.8536000000000001</v>
      </c>
      <c r="G227" s="139">
        <v>1.9971000000000001</v>
      </c>
    </row>
    <row r="228" spans="1:7" ht="15.75">
      <c r="A228" s="48">
        <v>9520</v>
      </c>
      <c r="B228" s="49" t="s">
        <v>281</v>
      </c>
      <c r="C228" s="49" t="s">
        <v>278</v>
      </c>
      <c r="D228" s="139">
        <v>3.0057999999999998</v>
      </c>
      <c r="E228" s="94">
        <f>Tabel12[[#This Row],[Basistarief HH]]*2</f>
        <v>6.0115999999999996</v>
      </c>
      <c r="F228" s="139">
        <v>4.8536000000000001</v>
      </c>
      <c r="G228" s="139">
        <v>1.9971000000000001</v>
      </c>
    </row>
    <row r="229" spans="1:7" ht="15.75">
      <c r="A229" s="48">
        <v>9831</v>
      </c>
      <c r="B229" s="49" t="s">
        <v>282</v>
      </c>
      <c r="C229" s="49" t="s">
        <v>283</v>
      </c>
      <c r="D229" s="139">
        <v>3.0057999999999998</v>
      </c>
      <c r="E229" s="94">
        <f>Tabel12[[#This Row],[Basistarief HH]]*2</f>
        <v>6.0115999999999996</v>
      </c>
      <c r="F229" s="139">
        <v>4.8536000000000001</v>
      </c>
      <c r="G229" s="139">
        <v>1.9971000000000001</v>
      </c>
    </row>
    <row r="230" spans="1:7" ht="15.75">
      <c r="A230" s="48">
        <v>9830</v>
      </c>
      <c r="B230" s="49" t="s">
        <v>283</v>
      </c>
      <c r="C230" s="49" t="s">
        <v>283</v>
      </c>
      <c r="D230" s="139">
        <v>3.0057999999999998</v>
      </c>
      <c r="E230" s="94">
        <f>Tabel12[[#This Row],[Basistarief HH]]*2</f>
        <v>6.0115999999999996</v>
      </c>
      <c r="F230" s="139">
        <v>4.8536000000000001</v>
      </c>
      <c r="G230" s="139">
        <v>1.9971000000000001</v>
      </c>
    </row>
    <row r="231" spans="1:7" ht="15.75">
      <c r="A231" s="48">
        <v>1742</v>
      </c>
      <c r="B231" s="49" t="s">
        <v>284</v>
      </c>
      <c r="C231" s="49" t="s">
        <v>285</v>
      </c>
      <c r="D231" s="139">
        <v>3.0057999999999998</v>
      </c>
      <c r="E231" s="94">
        <f>Tabel12[[#This Row],[Basistarief HH]]*2</f>
        <v>6.0115999999999996</v>
      </c>
      <c r="F231" s="139">
        <v>4.8536000000000001</v>
      </c>
      <c r="G231" s="139">
        <v>1.9971000000000001</v>
      </c>
    </row>
    <row r="232" spans="1:7" ht="15.75">
      <c r="A232" s="48">
        <v>1741</v>
      </c>
      <c r="B232" s="49" t="s">
        <v>286</v>
      </c>
      <c r="C232" s="49" t="s">
        <v>285</v>
      </c>
      <c r="D232" s="139">
        <v>3.0057999999999998</v>
      </c>
      <c r="E232" s="94">
        <f>Tabel12[[#This Row],[Basistarief HH]]*2</f>
        <v>6.0115999999999996</v>
      </c>
      <c r="F232" s="139">
        <v>4.8536000000000001</v>
      </c>
      <c r="G232" s="139">
        <v>1.9971000000000001</v>
      </c>
    </row>
    <row r="233" spans="1:7" ht="15.75">
      <c r="A233" s="48">
        <v>1740</v>
      </c>
      <c r="B233" s="49" t="s">
        <v>285</v>
      </c>
      <c r="C233" s="49" t="s">
        <v>285</v>
      </c>
      <c r="D233" s="139">
        <v>3.0057999999999998</v>
      </c>
      <c r="E233" s="94">
        <f>Tabel12[[#This Row],[Basistarief HH]]*2</f>
        <v>6.0115999999999996</v>
      </c>
      <c r="F233" s="139">
        <v>4.8536000000000001</v>
      </c>
      <c r="G233" s="139">
        <v>1.9971000000000001</v>
      </c>
    </row>
    <row r="234" spans="1:7" ht="15.75">
      <c r="A234" s="48">
        <v>1780</v>
      </c>
      <c r="B234" s="49" t="s">
        <v>370</v>
      </c>
      <c r="C234" s="49" t="s">
        <v>370</v>
      </c>
      <c r="D234" s="139">
        <v>3.0057999999999998</v>
      </c>
      <c r="E234" s="94">
        <f>Tabel12[[#This Row],[Basistarief HH]]*2</f>
        <v>6.0115999999999996</v>
      </c>
      <c r="F234" s="139">
        <v>4.8536000000000001</v>
      </c>
      <c r="G234" s="139">
        <v>1.9971000000000001</v>
      </c>
    </row>
    <row r="235" spans="1:7" ht="15.75">
      <c r="A235" s="48">
        <v>9230</v>
      </c>
      <c r="B235" s="49" t="s">
        <v>287</v>
      </c>
      <c r="C235" s="49" t="s">
        <v>288</v>
      </c>
      <c r="D235" s="139">
        <v>3.0057999999999998</v>
      </c>
      <c r="E235" s="94">
        <f>Tabel12[[#This Row],[Basistarief HH]]*2</f>
        <v>6.0115999999999996</v>
      </c>
      <c r="F235" s="139">
        <v>4.8536000000000001</v>
      </c>
      <c r="G235" s="139">
        <v>1.9971000000000001</v>
      </c>
    </row>
    <row r="236" spans="1:7" ht="15.75">
      <c r="A236" s="48">
        <v>9230</v>
      </c>
      <c r="B236" s="49" t="s">
        <v>289</v>
      </c>
      <c r="C236" s="49" t="s">
        <v>288</v>
      </c>
      <c r="D236" s="139">
        <v>3.0057999999999998</v>
      </c>
      <c r="E236" s="94">
        <f>Tabel12[[#This Row],[Basistarief HH]]*2</f>
        <v>6.0115999999999996</v>
      </c>
      <c r="F236" s="139">
        <v>4.8536000000000001</v>
      </c>
      <c r="G236" s="139">
        <v>1.9971000000000001</v>
      </c>
    </row>
    <row r="237" spans="1:7" ht="15.75">
      <c r="A237" s="48">
        <v>9230</v>
      </c>
      <c r="B237" s="49" t="s">
        <v>288</v>
      </c>
      <c r="C237" s="49" t="s">
        <v>288</v>
      </c>
      <c r="D237" s="139">
        <v>3.0057999999999998</v>
      </c>
      <c r="E237" s="94">
        <f>Tabel12[[#This Row],[Basistarief HH]]*2</f>
        <v>6.0115999999999996</v>
      </c>
      <c r="F237" s="139">
        <v>4.8536000000000001</v>
      </c>
      <c r="G237" s="139">
        <v>1.9971000000000001</v>
      </c>
    </row>
    <row r="238" spans="1:7" ht="15.75">
      <c r="A238" s="48">
        <v>9260</v>
      </c>
      <c r="B238" s="49" t="s">
        <v>290</v>
      </c>
      <c r="C238" s="49" t="s">
        <v>291</v>
      </c>
      <c r="D238" s="139">
        <v>3.0057999999999998</v>
      </c>
      <c r="E238" s="94">
        <f>Tabel12[[#This Row],[Basistarief HH]]*2</f>
        <v>6.0115999999999996</v>
      </c>
      <c r="F238" s="139">
        <v>4.8536000000000001</v>
      </c>
      <c r="G238" s="139">
        <v>1.9971000000000001</v>
      </c>
    </row>
    <row r="239" spans="1:7" ht="15.75">
      <c r="A239" s="48">
        <v>9260</v>
      </c>
      <c r="B239" s="49" t="s">
        <v>292</v>
      </c>
      <c r="C239" s="49" t="s">
        <v>291</v>
      </c>
      <c r="D239" s="139">
        <v>3.0057999999999998</v>
      </c>
      <c r="E239" s="94">
        <f>Tabel12[[#This Row],[Basistarief HH]]*2</f>
        <v>6.0115999999999996</v>
      </c>
      <c r="F239" s="139">
        <v>4.8536000000000001</v>
      </c>
      <c r="G239" s="139">
        <v>1.9971000000000001</v>
      </c>
    </row>
    <row r="240" spans="1:7" ht="15.75">
      <c r="A240" s="48">
        <v>9260</v>
      </c>
      <c r="B240" s="49" t="s">
        <v>291</v>
      </c>
      <c r="C240" s="49" t="s">
        <v>291</v>
      </c>
      <c r="D240" s="139">
        <v>3.0057999999999998</v>
      </c>
      <c r="E240" s="94">
        <f>Tabel12[[#This Row],[Basistarief HH]]*2</f>
        <v>6.0115999999999996</v>
      </c>
      <c r="F240" s="139">
        <v>4.8536000000000001</v>
      </c>
      <c r="G240" s="139">
        <v>1.9971000000000001</v>
      </c>
    </row>
    <row r="241" spans="1:7" ht="15.75">
      <c r="A241" s="48">
        <v>9790</v>
      </c>
      <c r="B241" s="49" t="s">
        <v>293</v>
      </c>
      <c r="C241" s="49" t="s">
        <v>294</v>
      </c>
      <c r="D241" s="139">
        <v>3.0057999999999998</v>
      </c>
      <c r="E241" s="94">
        <f>Tabel12[[#This Row],[Basistarief HH]]*2</f>
        <v>6.0115999999999996</v>
      </c>
      <c r="F241" s="139">
        <v>4.8536000000000001</v>
      </c>
      <c r="G241" s="139">
        <v>1.9971000000000001</v>
      </c>
    </row>
    <row r="242" spans="1:7" ht="15.75">
      <c r="A242" s="48">
        <v>9790</v>
      </c>
      <c r="B242" s="49" t="s">
        <v>295</v>
      </c>
      <c r="C242" s="49" t="s">
        <v>294</v>
      </c>
      <c r="D242" s="139">
        <v>3.0057999999999998</v>
      </c>
      <c r="E242" s="94">
        <f>Tabel12[[#This Row],[Basistarief HH]]*2</f>
        <v>6.0115999999999996</v>
      </c>
      <c r="F242" s="139">
        <v>4.8536000000000001</v>
      </c>
      <c r="G242" s="139">
        <v>1.9971000000000001</v>
      </c>
    </row>
    <row r="243" spans="1:7" ht="15.75">
      <c r="A243" s="48">
        <v>9790</v>
      </c>
      <c r="B243" s="49" t="s">
        <v>271</v>
      </c>
      <c r="C243" s="49" t="s">
        <v>294</v>
      </c>
      <c r="D243" s="139">
        <v>3.0057999999999998</v>
      </c>
      <c r="E243" s="94">
        <f>Tabel12[[#This Row],[Basistarief HH]]*2</f>
        <v>6.0115999999999996</v>
      </c>
      <c r="F243" s="139">
        <v>4.8536000000000001</v>
      </c>
      <c r="G243" s="139">
        <v>1.9971000000000001</v>
      </c>
    </row>
    <row r="244" spans="1:7" ht="15.75">
      <c r="A244" s="48">
        <v>9790</v>
      </c>
      <c r="B244" s="49" t="s">
        <v>296</v>
      </c>
      <c r="C244" s="49" t="s">
        <v>294</v>
      </c>
      <c r="D244" s="139">
        <v>3.0057999999999998</v>
      </c>
      <c r="E244" s="94">
        <f>Tabel12[[#This Row],[Basistarief HH]]*2</f>
        <v>6.0115999999999996</v>
      </c>
      <c r="F244" s="139">
        <v>4.8536000000000001</v>
      </c>
      <c r="G244" s="139">
        <v>1.9971000000000001</v>
      </c>
    </row>
    <row r="245" spans="1:7" ht="15.75">
      <c r="A245" s="48">
        <v>9790</v>
      </c>
      <c r="B245" s="49" t="s">
        <v>297</v>
      </c>
      <c r="C245" s="49" t="s">
        <v>294</v>
      </c>
      <c r="D245" s="139">
        <v>3.0057999999999998</v>
      </c>
      <c r="E245" s="94">
        <f>Tabel12[[#This Row],[Basistarief HH]]*2</f>
        <v>6.0115999999999996</v>
      </c>
      <c r="F245" s="139">
        <v>4.8536000000000001</v>
      </c>
      <c r="G245" s="139">
        <v>1.9971000000000001</v>
      </c>
    </row>
    <row r="246" spans="1:7" ht="15.75">
      <c r="A246" s="50">
        <v>1930</v>
      </c>
      <c r="B246" s="51" t="s">
        <v>371</v>
      </c>
      <c r="C246" s="51" t="s">
        <v>371</v>
      </c>
      <c r="D246" s="140">
        <f>3.0058-0.0807</f>
        <v>2.9250999999999996</v>
      </c>
      <c r="E246" s="95">
        <f>6.0116-0.1614</f>
        <v>5.8501999999999992</v>
      </c>
      <c r="F246" s="139">
        <v>4.8536000000000001</v>
      </c>
      <c r="G246" s="139">
        <v>1.9971000000000001</v>
      </c>
    </row>
    <row r="247" spans="1:7" ht="15.75">
      <c r="A247" s="50">
        <v>1932</v>
      </c>
      <c r="B247" s="51" t="s">
        <v>372</v>
      </c>
      <c r="C247" s="51" t="s">
        <v>371</v>
      </c>
      <c r="D247" s="140">
        <f>3.0058-0.0807</f>
        <v>2.9250999999999996</v>
      </c>
      <c r="E247" s="95">
        <f>6.0116-0.1614</f>
        <v>5.8501999999999992</v>
      </c>
      <c r="F247" s="139">
        <v>4.8536000000000001</v>
      </c>
      <c r="G247" s="139">
        <v>1.9971000000000001</v>
      </c>
    </row>
    <row r="248" spans="1:7" ht="15.75">
      <c r="A248" s="50">
        <v>1933</v>
      </c>
      <c r="B248" s="51" t="s">
        <v>373</v>
      </c>
      <c r="C248" s="51" t="s">
        <v>371</v>
      </c>
      <c r="D248" s="140">
        <f>3.0058-0.0807</f>
        <v>2.9250999999999996</v>
      </c>
      <c r="E248" s="95">
        <f>6.0116-0.1614</f>
        <v>5.8501999999999992</v>
      </c>
      <c r="F248" s="139">
        <v>4.8536000000000001</v>
      </c>
      <c r="G248" s="139">
        <v>1.9971000000000001</v>
      </c>
    </row>
    <row r="249" spans="1:7" ht="15.75">
      <c r="A249" s="48">
        <v>9060</v>
      </c>
      <c r="B249" s="49" t="s">
        <v>298</v>
      </c>
      <c r="C249" s="49" t="s">
        <v>298</v>
      </c>
      <c r="D249" s="139">
        <v>3.0057999999999998</v>
      </c>
      <c r="E249" s="94">
        <f>Tabel12[[#This Row],[Basistarief HH]]*2</f>
        <v>6.0115999999999996</v>
      </c>
      <c r="F249" s="139">
        <v>4.8536000000000001</v>
      </c>
      <c r="G249" s="139">
        <v>1.9971000000000001</v>
      </c>
    </row>
    <row r="250" spans="1:7" ht="15.75">
      <c r="A250" s="48">
        <v>9750</v>
      </c>
      <c r="B250" s="49" t="s">
        <v>299</v>
      </c>
      <c r="C250" s="49" t="s">
        <v>375</v>
      </c>
      <c r="D250" s="139">
        <v>3.0057999999999998</v>
      </c>
      <c r="E250" s="94">
        <f>Tabel12[[#This Row],[Basistarief HH]]*2</f>
        <v>6.0115999999999996</v>
      </c>
      <c r="F250" s="139">
        <v>4.8536000000000001</v>
      </c>
      <c r="G250" s="139">
        <v>1.9971000000000001</v>
      </c>
    </row>
    <row r="251" spans="1:7" ht="15.75">
      <c r="A251" s="48">
        <v>9750</v>
      </c>
      <c r="B251" s="49" t="s">
        <v>301</v>
      </c>
      <c r="C251" s="49" t="s">
        <v>375</v>
      </c>
      <c r="D251" s="139">
        <v>3.0057999999999998</v>
      </c>
      <c r="E251" s="94">
        <f>Tabel12[[#This Row],[Basistarief HH]]*2</f>
        <v>6.0115999999999996</v>
      </c>
      <c r="F251" s="139">
        <v>4.8536000000000001</v>
      </c>
      <c r="G251" s="139">
        <v>1.9971000000000001</v>
      </c>
    </row>
    <row r="252" spans="1:7" ht="15.75">
      <c r="A252" s="48">
        <v>9750</v>
      </c>
      <c r="B252" s="49" t="s">
        <v>300</v>
      </c>
      <c r="C252" s="49" t="s">
        <v>375</v>
      </c>
      <c r="D252" s="139">
        <v>3.0057999999999998</v>
      </c>
      <c r="E252" s="94">
        <f>Tabel12[[#This Row],[Basistarief HH]]*2</f>
        <v>6.0115999999999996</v>
      </c>
      <c r="F252" s="139">
        <v>4.8536000000000001</v>
      </c>
      <c r="G252" s="139">
        <v>1.9971000000000001</v>
      </c>
    </row>
    <row r="253" spans="1:7" ht="15.75">
      <c r="A253" s="48">
        <v>9931</v>
      </c>
      <c r="B253" s="49" t="s">
        <v>302</v>
      </c>
      <c r="C253" s="49" t="s">
        <v>374</v>
      </c>
      <c r="D253" s="139">
        <v>3.0057999999999998</v>
      </c>
      <c r="E253" s="94">
        <f>Tabel12[[#This Row],[Basistarief HH]]*2</f>
        <v>6.0115999999999996</v>
      </c>
      <c r="F253" s="139">
        <v>4.8536000000000001</v>
      </c>
      <c r="G253" s="139">
        <v>1.9971000000000001</v>
      </c>
    </row>
    <row r="254" spans="1:7" ht="15.75">
      <c r="A254" s="48">
        <v>9932</v>
      </c>
      <c r="B254" s="49" t="s">
        <v>304</v>
      </c>
      <c r="C254" s="49" t="s">
        <v>374</v>
      </c>
      <c r="D254" s="139">
        <v>3.0057999999999998</v>
      </c>
      <c r="E254" s="94">
        <f>Tabel12[[#This Row],[Basistarief HH]]*2</f>
        <v>6.0115999999999996</v>
      </c>
      <c r="F254" s="139">
        <v>4.8536000000000001</v>
      </c>
      <c r="G254" s="139">
        <v>1.9971000000000001</v>
      </c>
    </row>
    <row r="255" spans="1:7" ht="15.75">
      <c r="A255" s="48">
        <v>9930</v>
      </c>
      <c r="B255" s="49" t="s">
        <v>303</v>
      </c>
      <c r="C255" s="49" t="s">
        <v>374</v>
      </c>
      <c r="D255" s="139">
        <v>3.0057999999999998</v>
      </c>
      <c r="E255" s="94">
        <f>Tabel12[[#This Row],[Basistarief HH]]*2</f>
        <v>6.0115999999999996</v>
      </c>
      <c r="F255" s="139">
        <v>4.8536000000000001</v>
      </c>
      <c r="G255" s="139">
        <v>1.9971000000000001</v>
      </c>
    </row>
    <row r="256" spans="1:7" ht="15.75">
      <c r="A256" s="48">
        <v>9620</v>
      </c>
      <c r="B256" s="49" t="s">
        <v>305</v>
      </c>
      <c r="C256" s="49" t="s">
        <v>306</v>
      </c>
      <c r="D256" s="139">
        <v>3.0057999999999998</v>
      </c>
      <c r="E256" s="94">
        <f>Tabel12[[#This Row],[Basistarief HH]]*2</f>
        <v>6.0115999999999996</v>
      </c>
      <c r="F256" s="139">
        <v>4.8536000000000001</v>
      </c>
      <c r="G256" s="139">
        <v>1.9971000000000001</v>
      </c>
    </row>
    <row r="257" spans="1:7" ht="15.75">
      <c r="A257" s="48">
        <v>9620</v>
      </c>
      <c r="B257" s="49" t="s">
        <v>307</v>
      </c>
      <c r="C257" s="49" t="s">
        <v>306</v>
      </c>
      <c r="D257" s="139">
        <v>3.0057999999999998</v>
      </c>
      <c r="E257" s="94">
        <f>Tabel12[[#This Row],[Basistarief HH]]*2</f>
        <v>6.0115999999999996</v>
      </c>
      <c r="F257" s="139">
        <v>4.8536000000000001</v>
      </c>
      <c r="G257" s="139">
        <v>1.9971000000000001</v>
      </c>
    </row>
    <row r="258" spans="1:7" ht="15.75">
      <c r="A258" s="48">
        <v>9620</v>
      </c>
      <c r="B258" s="49" t="s">
        <v>308</v>
      </c>
      <c r="C258" s="49" t="s">
        <v>306</v>
      </c>
      <c r="D258" s="139">
        <v>3.0057999999999998</v>
      </c>
      <c r="E258" s="94">
        <f>Tabel12[[#This Row],[Basistarief HH]]*2</f>
        <v>6.0115999999999996</v>
      </c>
      <c r="F258" s="139">
        <v>4.8536000000000001</v>
      </c>
      <c r="G258" s="139">
        <v>1.9971000000000001</v>
      </c>
    </row>
    <row r="259" spans="1:7" ht="15.75">
      <c r="A259" s="48">
        <v>9620</v>
      </c>
      <c r="B259" s="49" t="s">
        <v>309</v>
      </c>
      <c r="C259" s="49" t="s">
        <v>306</v>
      </c>
      <c r="D259" s="139">
        <v>3.0057999999999998</v>
      </c>
      <c r="E259" s="94">
        <f>Tabel12[[#This Row],[Basistarief HH]]*2</f>
        <v>6.0115999999999996</v>
      </c>
      <c r="F259" s="139">
        <v>4.8536000000000001</v>
      </c>
      <c r="G259" s="139">
        <v>1.9971000000000001</v>
      </c>
    </row>
    <row r="260" spans="1:7" ht="15.75">
      <c r="A260" s="48">
        <v>9620</v>
      </c>
      <c r="B260" s="49" t="s">
        <v>310</v>
      </c>
      <c r="C260" s="49" t="s">
        <v>306</v>
      </c>
      <c r="D260" s="139">
        <v>3.0057999999999998</v>
      </c>
      <c r="E260" s="94">
        <f>Tabel12[[#This Row],[Basistarief HH]]*2</f>
        <v>6.0115999999999996</v>
      </c>
      <c r="F260" s="139">
        <v>4.8536000000000001</v>
      </c>
      <c r="G260" s="139">
        <v>1.9971000000000001</v>
      </c>
    </row>
    <row r="261" spans="1:7" ht="15.75">
      <c r="A261" s="48">
        <v>9620</v>
      </c>
      <c r="B261" s="49" t="s">
        <v>311</v>
      </c>
      <c r="C261" s="49" t="s">
        <v>306</v>
      </c>
      <c r="D261" s="139">
        <v>3.0057999999999998</v>
      </c>
      <c r="E261" s="94">
        <f>Tabel12[[#This Row],[Basistarief HH]]*2</f>
        <v>6.0115999999999996</v>
      </c>
      <c r="F261" s="139">
        <v>4.8536000000000001</v>
      </c>
      <c r="G261" s="139">
        <v>1.9971000000000001</v>
      </c>
    </row>
    <row r="262" spans="1:7" ht="15.75">
      <c r="A262" s="48">
        <v>9620</v>
      </c>
      <c r="B262" s="49" t="s">
        <v>312</v>
      </c>
      <c r="C262" s="49" t="s">
        <v>306</v>
      </c>
      <c r="D262" s="139">
        <v>3.0057999999999998</v>
      </c>
      <c r="E262" s="94">
        <f>Tabel12[[#This Row],[Basistarief HH]]*2</f>
        <v>6.0115999999999996</v>
      </c>
      <c r="F262" s="139">
        <v>4.8536000000000001</v>
      </c>
      <c r="G262" s="139">
        <v>1.9971000000000001</v>
      </c>
    </row>
    <row r="263" spans="1:7" ht="15.75">
      <c r="A263" s="48">
        <v>9620</v>
      </c>
      <c r="B263" s="49" t="s">
        <v>87</v>
      </c>
      <c r="C263" s="49" t="s">
        <v>306</v>
      </c>
      <c r="D263" s="139">
        <v>3.0057999999999998</v>
      </c>
      <c r="E263" s="94">
        <f>Tabel12[[#This Row],[Basistarief HH]]*2</f>
        <v>6.0115999999999996</v>
      </c>
      <c r="F263" s="139">
        <v>4.8536000000000001</v>
      </c>
      <c r="G263" s="139">
        <v>1.9971000000000001</v>
      </c>
    </row>
    <row r="264" spans="1:7" ht="15.75">
      <c r="A264" s="48">
        <v>9620</v>
      </c>
      <c r="B264" s="49" t="s">
        <v>313</v>
      </c>
      <c r="C264" s="49" t="s">
        <v>306</v>
      </c>
      <c r="D264" s="139">
        <v>3.0057999999999998</v>
      </c>
      <c r="E264" s="94">
        <f>Tabel12[[#This Row],[Basistarief HH]]*2</f>
        <v>6.0115999999999996</v>
      </c>
      <c r="F264" s="139">
        <v>4.8536000000000001</v>
      </c>
      <c r="G264" s="139">
        <v>1.9971000000000001</v>
      </c>
    </row>
    <row r="265" spans="1:7" ht="15.75">
      <c r="A265" s="48">
        <v>9620</v>
      </c>
      <c r="B265" s="49" t="s">
        <v>314</v>
      </c>
      <c r="C265" s="49" t="s">
        <v>306</v>
      </c>
      <c r="D265" s="139">
        <v>3.0057999999999998</v>
      </c>
      <c r="E265" s="94">
        <f>Tabel12[[#This Row],[Basistarief HH]]*2</f>
        <v>6.0115999999999996</v>
      </c>
      <c r="F265" s="139">
        <v>4.8536000000000001</v>
      </c>
      <c r="G265" s="139">
        <v>1.9971000000000001</v>
      </c>
    </row>
    <row r="266" spans="1:7" ht="15.75">
      <c r="A266" s="48">
        <v>9620</v>
      </c>
      <c r="B266" s="49" t="s">
        <v>306</v>
      </c>
      <c r="C266" s="49" t="s">
        <v>306</v>
      </c>
      <c r="D266" s="139">
        <v>3.0057999999999998</v>
      </c>
      <c r="E266" s="94">
        <f>Tabel12[[#This Row],[Basistarief HH]]*2</f>
        <v>6.0115999999999996</v>
      </c>
      <c r="F266" s="139">
        <v>4.8536000000000001</v>
      </c>
      <c r="G266" s="139">
        <v>1.9971000000000001</v>
      </c>
    </row>
    <row r="267" spans="1:7" ht="15.75">
      <c r="A267" s="48">
        <v>8377</v>
      </c>
      <c r="B267" s="49" t="s">
        <v>315</v>
      </c>
      <c r="C267" s="49" t="s">
        <v>316</v>
      </c>
      <c r="D267" s="139">
        <v>3.0057999999999998</v>
      </c>
      <c r="E267" s="94">
        <f>Tabel12[[#This Row],[Basistarief HH]]*2</f>
        <v>6.0115999999999996</v>
      </c>
      <c r="F267" s="139">
        <v>4.8536000000000001</v>
      </c>
      <c r="G267" s="139">
        <v>1.9971000000000001</v>
      </c>
    </row>
    <row r="268" spans="1:7" ht="15.75">
      <c r="A268" s="48">
        <v>8377</v>
      </c>
      <c r="B268" s="49" t="s">
        <v>317</v>
      </c>
      <c r="C268" s="49" t="s">
        <v>316</v>
      </c>
      <c r="D268" s="139">
        <v>3.0057999999999998</v>
      </c>
      <c r="E268" s="94">
        <f>Tabel12[[#This Row],[Basistarief HH]]*2</f>
        <v>6.0115999999999996</v>
      </c>
      <c r="F268" s="139">
        <v>4.8536000000000001</v>
      </c>
      <c r="G268" s="139">
        <v>1.9971000000000001</v>
      </c>
    </row>
    <row r="269" spans="1:7" ht="15.75">
      <c r="A269" s="48">
        <v>8377</v>
      </c>
      <c r="B269" s="49" t="s">
        <v>318</v>
      </c>
      <c r="C269" s="49" t="s">
        <v>316</v>
      </c>
      <c r="D269" s="139">
        <v>3.0057999999999998</v>
      </c>
      <c r="E269" s="94">
        <f>Tabel12[[#This Row],[Basistarief HH]]*2</f>
        <v>6.0115999999999996</v>
      </c>
      <c r="F269" s="139">
        <v>4.8536000000000001</v>
      </c>
      <c r="G269" s="139">
        <v>1.9971000000000001</v>
      </c>
    </row>
    <row r="270" spans="1:7" ht="15.75">
      <c r="A270" s="48">
        <v>8377</v>
      </c>
      <c r="B270" s="49" t="s">
        <v>316</v>
      </c>
      <c r="C270" s="49" t="s">
        <v>316</v>
      </c>
      <c r="D270" s="139">
        <v>3.0057999999999998</v>
      </c>
      <c r="E270" s="94">
        <f>Tabel12[[#This Row],[Basistarief HH]]*2</f>
        <v>6.0115999999999996</v>
      </c>
      <c r="F270" s="139">
        <v>4.8536000000000001</v>
      </c>
      <c r="G270" s="139">
        <v>1.9971000000000001</v>
      </c>
    </row>
    <row r="271" spans="1:7" ht="15.75">
      <c r="A271" s="48">
        <v>9870</v>
      </c>
      <c r="B271" s="49" t="s">
        <v>217</v>
      </c>
      <c r="C271" s="49" t="s">
        <v>319</v>
      </c>
      <c r="D271" s="139">
        <v>3.0057999999999998</v>
      </c>
      <c r="E271" s="94">
        <f>Tabel12[[#This Row],[Basistarief HH]]*2</f>
        <v>6.0115999999999996</v>
      </c>
      <c r="F271" s="139">
        <v>4.8536000000000001</v>
      </c>
      <c r="G271" s="139">
        <v>1.9971000000000001</v>
      </c>
    </row>
    <row r="272" spans="1:7" ht="15.75">
      <c r="A272" s="48">
        <v>9870</v>
      </c>
      <c r="B272" s="49" t="s">
        <v>320</v>
      </c>
      <c r="C272" s="49" t="s">
        <v>319</v>
      </c>
      <c r="D272" s="139">
        <v>3.0057999999999998</v>
      </c>
      <c r="E272" s="94">
        <f>Tabel12[[#This Row],[Basistarief HH]]*2</f>
        <v>6.0115999999999996</v>
      </c>
      <c r="F272" s="139">
        <v>4.8536000000000001</v>
      </c>
      <c r="G272" s="139">
        <v>1.9971000000000001</v>
      </c>
    </row>
    <row r="273" spans="1:7" ht="15.75">
      <c r="A273" s="48">
        <v>9870</v>
      </c>
      <c r="B273" s="49" t="s">
        <v>319</v>
      </c>
      <c r="C273" s="49" t="s">
        <v>319</v>
      </c>
      <c r="D273" s="139">
        <v>3.0057999999999998</v>
      </c>
      <c r="E273" s="94">
        <f>Tabel12[[#This Row],[Basistarief HH]]*2</f>
        <v>6.0115999999999996</v>
      </c>
      <c r="F273" s="139">
        <v>4.8536000000000001</v>
      </c>
      <c r="G273" s="139">
        <v>1.9971000000000001</v>
      </c>
    </row>
    <row r="274" spans="1:7" ht="15.75">
      <c r="A274" s="48">
        <v>9630</v>
      </c>
      <c r="B274" s="49" t="s">
        <v>321</v>
      </c>
      <c r="C274" s="49" t="s">
        <v>322</v>
      </c>
      <c r="D274" s="139">
        <v>3.0057999999999998</v>
      </c>
      <c r="E274" s="94">
        <f>Tabel12[[#This Row],[Basistarief HH]]*2</f>
        <v>6.0115999999999996</v>
      </c>
      <c r="F274" s="139">
        <v>4.8536000000000001</v>
      </c>
      <c r="G274" s="139">
        <v>1.9971000000000001</v>
      </c>
    </row>
    <row r="275" spans="1:7" ht="15.75">
      <c r="A275" s="48">
        <v>9630</v>
      </c>
      <c r="B275" s="49" t="s">
        <v>323</v>
      </c>
      <c r="C275" s="49" t="s">
        <v>322</v>
      </c>
      <c r="D275" s="139">
        <v>3.0057999999999998</v>
      </c>
      <c r="E275" s="94">
        <f>Tabel12[[#This Row],[Basistarief HH]]*2</f>
        <v>6.0115999999999996</v>
      </c>
      <c r="F275" s="139">
        <v>4.8536000000000001</v>
      </c>
      <c r="G275" s="139">
        <v>1.9971000000000001</v>
      </c>
    </row>
    <row r="276" spans="1:7" ht="15.75">
      <c r="A276" s="48">
        <v>9630</v>
      </c>
      <c r="B276" s="49" t="s">
        <v>324</v>
      </c>
      <c r="C276" s="49" t="s">
        <v>322</v>
      </c>
      <c r="D276" s="139">
        <v>3.0057999999999998</v>
      </c>
      <c r="E276" s="94">
        <f>Tabel12[[#This Row],[Basistarief HH]]*2</f>
        <v>6.0115999999999996</v>
      </c>
      <c r="F276" s="139">
        <v>4.8536000000000001</v>
      </c>
      <c r="G276" s="139">
        <v>1.9971000000000001</v>
      </c>
    </row>
    <row r="277" spans="1:7" ht="15.75">
      <c r="A277" s="48">
        <v>9630</v>
      </c>
      <c r="B277" s="49" t="s">
        <v>325</v>
      </c>
      <c r="C277" s="49" t="s">
        <v>322</v>
      </c>
      <c r="D277" s="139">
        <v>3.0057999999999998</v>
      </c>
      <c r="E277" s="94">
        <f>Tabel12[[#This Row],[Basistarief HH]]*2</f>
        <v>6.0115999999999996</v>
      </c>
      <c r="F277" s="139">
        <v>4.8536000000000001</v>
      </c>
      <c r="G277" s="139">
        <v>1.9971000000000001</v>
      </c>
    </row>
    <row r="278" spans="1:7" ht="15.75">
      <c r="A278" s="48">
        <v>9630</v>
      </c>
      <c r="B278" s="49" t="s">
        <v>326</v>
      </c>
      <c r="C278" s="49" t="s">
        <v>322</v>
      </c>
      <c r="D278" s="139">
        <v>3.0057999999999998</v>
      </c>
      <c r="E278" s="94">
        <f>Tabel12[[#This Row],[Basistarief HH]]*2</f>
        <v>6.0115999999999996</v>
      </c>
      <c r="F278" s="139">
        <v>4.8536000000000001</v>
      </c>
      <c r="G278" s="139">
        <v>1.9971000000000001</v>
      </c>
    </row>
    <row r="279" spans="1:7" ht="15.75">
      <c r="A279" s="48">
        <v>9636</v>
      </c>
      <c r="B279" s="49" t="s">
        <v>327</v>
      </c>
      <c r="C279" s="49" t="s">
        <v>322</v>
      </c>
      <c r="D279" s="139">
        <v>3.0057999999999998</v>
      </c>
      <c r="E279" s="94">
        <f>Tabel12[[#This Row],[Basistarief HH]]*2</f>
        <v>6.0115999999999996</v>
      </c>
      <c r="F279" s="139">
        <v>4.8536000000000001</v>
      </c>
      <c r="G279" s="139">
        <v>1.9971000000000001</v>
      </c>
    </row>
    <row r="280" spans="1:7" ht="15.75">
      <c r="A280" s="48">
        <v>9630</v>
      </c>
      <c r="B280" s="49" t="s">
        <v>328</v>
      </c>
      <c r="C280" s="49" t="s">
        <v>322</v>
      </c>
      <c r="D280" s="139">
        <v>3.0057999999999998</v>
      </c>
      <c r="E280" s="94">
        <f>Tabel12[[#This Row],[Basistarief HH]]*2</f>
        <v>6.0115999999999996</v>
      </c>
      <c r="F280" s="139">
        <v>4.8536000000000001</v>
      </c>
      <c r="G280" s="139">
        <v>1.9971000000000001</v>
      </c>
    </row>
    <row r="281" spans="1:7" ht="15.75">
      <c r="A281" s="48">
        <v>9630</v>
      </c>
      <c r="B281" s="49" t="s">
        <v>329</v>
      </c>
      <c r="C281" s="49" t="s">
        <v>322</v>
      </c>
      <c r="D281" s="139">
        <v>3.0057999999999998</v>
      </c>
      <c r="E281" s="94">
        <f>Tabel12[[#This Row],[Basistarief HH]]*2</f>
        <v>6.0115999999999996</v>
      </c>
      <c r="F281" s="139">
        <v>4.8536000000000001</v>
      </c>
      <c r="G281" s="139">
        <v>1.9971000000000001</v>
      </c>
    </row>
    <row r="282" spans="1:7" ht="15.75">
      <c r="A282" s="48">
        <v>9630</v>
      </c>
      <c r="B282" s="49" t="s">
        <v>330</v>
      </c>
      <c r="C282" s="49" t="s">
        <v>322</v>
      </c>
      <c r="D282" s="139">
        <v>3.0057999999999998</v>
      </c>
      <c r="E282" s="94">
        <f>Tabel12[[#This Row],[Basistarief HH]]*2</f>
        <v>6.0115999999999996</v>
      </c>
      <c r="F282" s="139">
        <v>4.8536000000000001</v>
      </c>
      <c r="G282" s="139">
        <v>1.9971000000000001</v>
      </c>
    </row>
    <row r="283" spans="1:7" ht="15.75">
      <c r="A283" s="48">
        <v>9630</v>
      </c>
      <c r="B283" s="49" t="s">
        <v>331</v>
      </c>
      <c r="C283" s="49" t="s">
        <v>322</v>
      </c>
      <c r="D283" s="139">
        <v>3.0057999999999998</v>
      </c>
      <c r="E283" s="94">
        <f>Tabel12[[#This Row],[Basistarief HH]]*2</f>
        <v>6.0115999999999996</v>
      </c>
      <c r="F283" s="139">
        <v>4.8536000000000001</v>
      </c>
      <c r="G283" s="139">
        <v>1.9971000000000001</v>
      </c>
    </row>
    <row r="284" spans="1:7" ht="15.75">
      <c r="A284" s="48">
        <v>9630</v>
      </c>
      <c r="B284" s="49" t="s">
        <v>332</v>
      </c>
      <c r="C284" s="49" t="s">
        <v>322</v>
      </c>
      <c r="D284" s="139">
        <v>3.0057999999999998</v>
      </c>
      <c r="E284" s="94">
        <f>Tabel12[[#This Row],[Basistarief HH]]*2</f>
        <v>6.0115999999999996</v>
      </c>
      <c r="F284" s="139">
        <v>4.8536000000000001</v>
      </c>
      <c r="G284" s="139">
        <v>1.9971000000000001</v>
      </c>
    </row>
    <row r="285" spans="1:7" ht="15.75">
      <c r="A285" s="52">
        <v>9630</v>
      </c>
      <c r="B285" s="53" t="s">
        <v>333</v>
      </c>
      <c r="C285" s="53" t="s">
        <v>322</v>
      </c>
      <c r="D285" s="139">
        <v>3.0057999999999998</v>
      </c>
      <c r="E285" s="94">
        <f>Tabel12[[#This Row],[Basistarief HH]]*2</f>
        <v>6.0115999999999996</v>
      </c>
      <c r="F285" s="139">
        <v>4.8536000000000001</v>
      </c>
      <c r="G285" s="139">
        <v>1.9971000000000001</v>
      </c>
    </row>
  </sheetData>
  <sheetProtection algorithmName="SHA-512" hashValue="GNRHGO/J3IcfYt18h/Hd4xSkd9tpEXjhx+ngKVzr8g+ET9oOq5T7fOjX0rPH7nazLhSdNf7Ocr2KAfiEc+O1ow==" saltValue="RvIdZ60KTW4mb2svWWCvMw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I285"/>
  <sheetViews>
    <sheetView topLeftCell="A246" workbookViewId="0">
      <selection activeCell="B17" sqref="B17"/>
    </sheetView>
  </sheetViews>
  <sheetFormatPr defaultRowHeight="15"/>
  <cols>
    <col min="3" max="3" width="28.42578125" customWidth="1"/>
    <col min="4" max="4" width="10.28515625" customWidth="1"/>
  </cols>
  <sheetData>
    <row r="1" spans="1:9">
      <c r="A1" s="45" t="s">
        <v>42</v>
      </c>
      <c r="B1" s="46" t="s">
        <v>43</v>
      </c>
      <c r="C1" s="46" t="s">
        <v>44</v>
      </c>
      <c r="D1" s="46" t="s">
        <v>339</v>
      </c>
    </row>
    <row r="2" spans="1:9">
      <c r="A2" s="48">
        <v>9300</v>
      </c>
      <c r="B2" s="49" t="s">
        <v>47</v>
      </c>
      <c r="C2" s="49" t="s">
        <v>47</v>
      </c>
      <c r="D2" s="94">
        <v>2.2172999999999998</v>
      </c>
    </row>
    <row r="3" spans="1:9">
      <c r="A3" s="48">
        <v>9310</v>
      </c>
      <c r="B3" s="49" t="s">
        <v>48</v>
      </c>
      <c r="C3" s="49" t="s">
        <v>47</v>
      </c>
      <c r="D3" s="94">
        <v>2.2172999999999998</v>
      </c>
    </row>
    <row r="4" spans="1:9">
      <c r="A4" s="48">
        <v>9320</v>
      </c>
      <c r="B4" s="49" t="s">
        <v>49</v>
      </c>
      <c r="C4" s="49" t="s">
        <v>47</v>
      </c>
      <c r="D4" s="94">
        <v>2.2172999999999998</v>
      </c>
    </row>
    <row r="5" spans="1:9">
      <c r="A5" s="48">
        <v>9308</v>
      </c>
      <c r="B5" s="49" t="s">
        <v>50</v>
      </c>
      <c r="C5" s="49" t="s">
        <v>47</v>
      </c>
      <c r="D5" s="94">
        <v>2.2172999999999998</v>
      </c>
    </row>
    <row r="6" spans="1:9">
      <c r="A6" s="48">
        <v>9310</v>
      </c>
      <c r="B6" s="49" t="s">
        <v>51</v>
      </c>
      <c r="C6" s="49" t="s">
        <v>47</v>
      </c>
      <c r="D6" s="94">
        <v>2.2172999999999998</v>
      </c>
    </row>
    <row r="7" spans="1:9">
      <c r="A7" s="48">
        <v>9308</v>
      </c>
      <c r="B7" s="49" t="s">
        <v>52</v>
      </c>
      <c r="C7" s="49" t="s">
        <v>47</v>
      </c>
      <c r="D7" s="94">
        <v>2.2172999999999998</v>
      </c>
      <c r="I7" s="59"/>
    </row>
    <row r="8" spans="1:9">
      <c r="A8" s="48">
        <v>9310</v>
      </c>
      <c r="B8" s="49" t="s">
        <v>53</v>
      </c>
      <c r="C8" s="49" t="s">
        <v>47</v>
      </c>
      <c r="D8" s="94">
        <v>2.2172999999999998</v>
      </c>
    </row>
    <row r="9" spans="1:9">
      <c r="A9" s="48">
        <v>9310</v>
      </c>
      <c r="B9" s="49" t="s">
        <v>54</v>
      </c>
      <c r="C9" s="49" t="s">
        <v>47</v>
      </c>
      <c r="D9" s="94">
        <v>2.2172999999999998</v>
      </c>
    </row>
    <row r="10" spans="1:9">
      <c r="A10" s="48">
        <v>9320</v>
      </c>
      <c r="B10" s="49" t="s">
        <v>55</v>
      </c>
      <c r="C10" s="49" t="s">
        <v>47</v>
      </c>
      <c r="D10" s="94">
        <v>2.2172999999999998</v>
      </c>
    </row>
    <row r="11" spans="1:9">
      <c r="A11" s="48">
        <v>9880</v>
      </c>
      <c r="B11" s="49" t="s">
        <v>56</v>
      </c>
      <c r="C11" s="49" t="s">
        <v>56</v>
      </c>
      <c r="D11" s="94">
        <v>2.2172999999999998</v>
      </c>
    </row>
    <row r="12" spans="1:9">
      <c r="A12" s="48">
        <v>9881</v>
      </c>
      <c r="B12" s="49" t="s">
        <v>57</v>
      </c>
      <c r="C12" s="49" t="s">
        <v>56</v>
      </c>
      <c r="D12" s="94">
        <v>2.2172999999999998</v>
      </c>
    </row>
    <row r="13" spans="1:9">
      <c r="A13" s="48">
        <v>9880</v>
      </c>
      <c r="B13" s="49" t="s">
        <v>58</v>
      </c>
      <c r="C13" s="49" t="s">
        <v>56</v>
      </c>
      <c r="D13" s="94">
        <v>2.2172999999999998</v>
      </c>
    </row>
    <row r="14" spans="1:9">
      <c r="A14" s="48">
        <v>9880</v>
      </c>
      <c r="B14" s="49" t="s">
        <v>59</v>
      </c>
      <c r="C14" s="49" t="s">
        <v>56</v>
      </c>
      <c r="D14" s="94">
        <v>2.2172999999999998</v>
      </c>
    </row>
    <row r="15" spans="1:9">
      <c r="A15" s="48">
        <v>1790</v>
      </c>
      <c r="B15" s="49" t="s">
        <v>60</v>
      </c>
      <c r="C15" s="49" t="s">
        <v>61</v>
      </c>
      <c r="D15" s="94">
        <v>2.2172999999999998</v>
      </c>
    </row>
    <row r="16" spans="1:9">
      <c r="A16" s="48">
        <v>1790</v>
      </c>
      <c r="B16" s="49" t="s">
        <v>62</v>
      </c>
      <c r="C16" s="49" t="s">
        <v>61</v>
      </c>
      <c r="D16" s="94">
        <v>2.2172999999999998</v>
      </c>
    </row>
    <row r="17" spans="1:4">
      <c r="A17" s="48">
        <v>1790</v>
      </c>
      <c r="B17" s="49" t="s">
        <v>63</v>
      </c>
      <c r="C17" s="49" t="s">
        <v>61</v>
      </c>
      <c r="D17" s="94">
        <v>2.2172999999999998</v>
      </c>
    </row>
    <row r="18" spans="1:4">
      <c r="A18" s="48">
        <v>1730</v>
      </c>
      <c r="B18" s="49" t="s">
        <v>64</v>
      </c>
      <c r="C18" s="49" t="s">
        <v>64</v>
      </c>
      <c r="D18" s="94">
        <v>2.2172999999999998</v>
      </c>
    </row>
    <row r="19" spans="1:4">
      <c r="A19" s="48">
        <v>1730</v>
      </c>
      <c r="B19" s="49" t="s">
        <v>65</v>
      </c>
      <c r="C19" s="49" t="s">
        <v>64</v>
      </c>
      <c r="D19" s="94">
        <v>2.2172999999999998</v>
      </c>
    </row>
    <row r="20" spans="1:4">
      <c r="A20" s="48">
        <v>1730</v>
      </c>
      <c r="B20" s="49" t="s">
        <v>66</v>
      </c>
      <c r="C20" s="49" t="s">
        <v>64</v>
      </c>
      <c r="D20" s="94">
        <v>2.2172999999999998</v>
      </c>
    </row>
    <row r="21" spans="1:4">
      <c r="A21" s="48">
        <v>1730</v>
      </c>
      <c r="B21" s="49" t="s">
        <v>67</v>
      </c>
      <c r="C21" s="49" t="s">
        <v>64</v>
      </c>
      <c r="D21" s="94">
        <v>2.2172999999999998</v>
      </c>
    </row>
    <row r="22" spans="1:4">
      <c r="A22" s="48">
        <v>1731</v>
      </c>
      <c r="B22" s="49" t="s">
        <v>68</v>
      </c>
      <c r="C22" s="49" t="s">
        <v>64</v>
      </c>
      <c r="D22" s="94">
        <v>2.2172999999999998</v>
      </c>
    </row>
    <row r="23" spans="1:4">
      <c r="A23" s="48">
        <v>1731</v>
      </c>
      <c r="B23" s="49" t="s">
        <v>69</v>
      </c>
      <c r="C23" s="49" t="s">
        <v>64</v>
      </c>
      <c r="D23" s="94">
        <v>2.2172999999999998</v>
      </c>
    </row>
    <row r="24" spans="1:4">
      <c r="A24" s="48">
        <v>8730</v>
      </c>
      <c r="B24" s="49" t="s">
        <v>70</v>
      </c>
      <c r="C24" s="49" t="s">
        <v>70</v>
      </c>
      <c r="D24" s="94">
        <v>2.2172999999999998</v>
      </c>
    </row>
    <row r="25" spans="1:4">
      <c r="A25" s="48">
        <v>8730</v>
      </c>
      <c r="B25" s="49" t="s">
        <v>71</v>
      </c>
      <c r="C25" s="49" t="s">
        <v>70</v>
      </c>
      <c r="D25" s="94">
        <v>2.2172999999999998</v>
      </c>
    </row>
    <row r="26" spans="1:4">
      <c r="A26" s="48">
        <v>8730</v>
      </c>
      <c r="B26" s="49" t="s">
        <v>72</v>
      </c>
      <c r="C26" s="49" t="s">
        <v>70</v>
      </c>
      <c r="D26" s="94">
        <v>2.2172999999999998</v>
      </c>
    </row>
    <row r="27" spans="1:4">
      <c r="A27" s="48">
        <v>1650</v>
      </c>
      <c r="B27" s="49" t="s">
        <v>73</v>
      </c>
      <c r="C27" s="49" t="s">
        <v>73</v>
      </c>
      <c r="D27" s="94">
        <v>2.2172999999999998</v>
      </c>
    </row>
    <row r="28" spans="1:4">
      <c r="A28" s="48">
        <v>1652</v>
      </c>
      <c r="B28" s="49" t="s">
        <v>74</v>
      </c>
      <c r="C28" s="49" t="s">
        <v>73</v>
      </c>
      <c r="D28" s="94">
        <v>2.2172999999999998</v>
      </c>
    </row>
    <row r="29" spans="1:4">
      <c r="A29" s="48">
        <v>1653</v>
      </c>
      <c r="B29" s="49" t="s">
        <v>75</v>
      </c>
      <c r="C29" s="49" t="s">
        <v>73</v>
      </c>
      <c r="D29" s="94">
        <v>2.2172999999999998</v>
      </c>
    </row>
    <row r="30" spans="1:4">
      <c r="A30" s="48">
        <v>1654</v>
      </c>
      <c r="B30" s="49" t="s">
        <v>76</v>
      </c>
      <c r="C30" s="49" t="s">
        <v>73</v>
      </c>
      <c r="D30" s="94">
        <v>2.2172999999999998</v>
      </c>
    </row>
    <row r="31" spans="1:4">
      <c r="A31" s="48">
        <v>1651</v>
      </c>
      <c r="B31" s="49" t="s">
        <v>77</v>
      </c>
      <c r="C31" s="49" t="s">
        <v>73</v>
      </c>
      <c r="D31" s="94">
        <v>2.2172999999999998</v>
      </c>
    </row>
    <row r="32" spans="1:4">
      <c r="A32" s="48">
        <v>8370</v>
      </c>
      <c r="B32" s="49" t="s">
        <v>78</v>
      </c>
      <c r="C32" s="49" t="s">
        <v>78</v>
      </c>
      <c r="D32" s="94">
        <v>2.2172999999999998</v>
      </c>
    </row>
    <row r="33" spans="1:4">
      <c r="A33" s="48">
        <v>8370</v>
      </c>
      <c r="B33" s="49" t="s">
        <v>79</v>
      </c>
      <c r="C33" s="49" t="s">
        <v>78</v>
      </c>
      <c r="D33" s="94">
        <v>2.2172999999999998</v>
      </c>
    </row>
    <row r="34" spans="1:4">
      <c r="A34" s="48">
        <v>9660</v>
      </c>
      <c r="B34" s="49" t="s">
        <v>80</v>
      </c>
      <c r="C34" s="49" t="s">
        <v>81</v>
      </c>
      <c r="D34" s="94">
        <v>2.2172999999999998</v>
      </c>
    </row>
    <row r="35" spans="1:4">
      <c r="A35" s="48">
        <v>9660</v>
      </c>
      <c r="B35" s="49" t="s">
        <v>82</v>
      </c>
      <c r="C35" s="49" t="s">
        <v>81</v>
      </c>
      <c r="D35" s="94">
        <v>2.2172999999999998</v>
      </c>
    </row>
    <row r="36" spans="1:4">
      <c r="A36" s="48">
        <v>9660</v>
      </c>
      <c r="B36" s="49" t="s">
        <v>83</v>
      </c>
      <c r="C36" s="49" t="s">
        <v>81</v>
      </c>
      <c r="D36" s="94">
        <v>2.2172999999999998</v>
      </c>
    </row>
    <row r="37" spans="1:4">
      <c r="A37" s="48">
        <v>9660</v>
      </c>
      <c r="B37" s="49" t="s">
        <v>84</v>
      </c>
      <c r="C37" s="49" t="s">
        <v>81</v>
      </c>
      <c r="D37" s="94">
        <v>2.2172999999999998</v>
      </c>
    </row>
    <row r="38" spans="1:4">
      <c r="A38" s="48">
        <v>9660</v>
      </c>
      <c r="B38" s="49" t="s">
        <v>85</v>
      </c>
      <c r="C38" s="49" t="s">
        <v>81</v>
      </c>
      <c r="D38" s="94">
        <v>2.2172999999999998</v>
      </c>
    </row>
    <row r="39" spans="1:4">
      <c r="A39" s="48">
        <v>9661</v>
      </c>
      <c r="B39" s="49" t="s">
        <v>86</v>
      </c>
      <c r="C39" s="49" t="s">
        <v>81</v>
      </c>
      <c r="D39" s="94">
        <v>2.2172999999999998</v>
      </c>
    </row>
    <row r="40" spans="1:4">
      <c r="A40" s="48">
        <v>9660</v>
      </c>
      <c r="B40" s="49" t="s">
        <v>87</v>
      </c>
      <c r="C40" s="49" t="s">
        <v>81</v>
      </c>
      <c r="D40" s="94">
        <v>2.2172999999999998</v>
      </c>
    </row>
    <row r="41" spans="1:4">
      <c r="A41" s="48">
        <v>9660</v>
      </c>
      <c r="B41" s="49" t="s">
        <v>88</v>
      </c>
      <c r="C41" s="49" t="s">
        <v>81</v>
      </c>
      <c r="D41" s="94">
        <v>2.2172999999999998</v>
      </c>
    </row>
    <row r="42" spans="1:4">
      <c r="A42" s="48">
        <v>8310</v>
      </c>
      <c r="B42" s="49" t="s">
        <v>89</v>
      </c>
      <c r="C42" s="49" t="s">
        <v>90</v>
      </c>
      <c r="D42" s="94">
        <v>2.2172999999999998</v>
      </c>
    </row>
    <row r="43" spans="1:4">
      <c r="A43" s="48">
        <v>8000</v>
      </c>
      <c r="B43" s="49" t="s">
        <v>90</v>
      </c>
      <c r="C43" s="49" t="s">
        <v>90</v>
      </c>
      <c r="D43" s="94">
        <v>2.2172999999999998</v>
      </c>
    </row>
    <row r="44" spans="1:4">
      <c r="A44" s="48">
        <v>8380</v>
      </c>
      <c r="B44" s="49" t="s">
        <v>91</v>
      </c>
      <c r="C44" s="49" t="s">
        <v>90</v>
      </c>
      <c r="D44" s="94">
        <v>2.2172999999999998</v>
      </c>
    </row>
    <row r="45" spans="1:4">
      <c r="A45" s="48">
        <v>8000</v>
      </c>
      <c r="B45" s="49" t="s">
        <v>92</v>
      </c>
      <c r="C45" s="49" t="s">
        <v>90</v>
      </c>
      <c r="D45" s="94">
        <v>2.2172999999999998</v>
      </c>
    </row>
    <row r="46" spans="1:4">
      <c r="A46" s="48">
        <v>8200</v>
      </c>
      <c r="B46" s="49" t="s">
        <v>93</v>
      </c>
      <c r="C46" s="49" t="s">
        <v>90</v>
      </c>
      <c r="D46" s="94">
        <v>2.2172999999999998</v>
      </c>
    </row>
    <row r="47" spans="1:4">
      <c r="A47" s="48">
        <v>8310</v>
      </c>
      <c r="B47" s="49" t="s">
        <v>94</v>
      </c>
      <c r="C47" s="49" t="s">
        <v>90</v>
      </c>
      <c r="D47" s="94">
        <v>2.2172999999999998</v>
      </c>
    </row>
    <row r="48" spans="1:4">
      <c r="A48" s="48">
        <v>8200</v>
      </c>
      <c r="B48" s="49" t="s">
        <v>95</v>
      </c>
      <c r="C48" s="49" t="s">
        <v>90</v>
      </c>
      <c r="D48" s="94">
        <v>2.2172999999999998</v>
      </c>
    </row>
    <row r="49" spans="1:4">
      <c r="A49" s="48">
        <v>8000</v>
      </c>
      <c r="B49" s="49" t="s">
        <v>96</v>
      </c>
      <c r="C49" s="49" t="s">
        <v>90</v>
      </c>
      <c r="D49" s="94">
        <v>2.2172999999999998</v>
      </c>
    </row>
    <row r="50" spans="1:4">
      <c r="A50" s="48">
        <v>8380</v>
      </c>
      <c r="B50" s="49" t="s">
        <v>97</v>
      </c>
      <c r="C50" s="49" t="s">
        <v>90</v>
      </c>
      <c r="D50" s="94">
        <v>2.2172999999999998</v>
      </c>
    </row>
    <row r="51" spans="1:4">
      <c r="A51" s="48">
        <v>9255</v>
      </c>
      <c r="B51" s="49" t="s">
        <v>98</v>
      </c>
      <c r="C51" s="49" t="s">
        <v>98</v>
      </c>
      <c r="D51" s="94">
        <v>2.2172999999999998</v>
      </c>
    </row>
    <row r="52" spans="1:4">
      <c r="A52" s="48">
        <v>9255</v>
      </c>
      <c r="B52" s="49" t="s">
        <v>99</v>
      </c>
      <c r="C52" s="49" t="s">
        <v>98</v>
      </c>
      <c r="D52" s="94">
        <v>2.2172999999999998</v>
      </c>
    </row>
    <row r="53" spans="1:4">
      <c r="A53" s="48">
        <v>8340</v>
      </c>
      <c r="B53" s="49" t="s">
        <v>100</v>
      </c>
      <c r="C53" s="49" t="s">
        <v>100</v>
      </c>
      <c r="D53" s="94">
        <v>2.2172999999999998</v>
      </c>
    </row>
    <row r="54" spans="1:4">
      <c r="A54" s="48">
        <v>8340</v>
      </c>
      <c r="B54" s="49" t="s">
        <v>101</v>
      </c>
      <c r="C54" s="49" t="s">
        <v>100</v>
      </c>
      <c r="D54" s="94">
        <v>2.2172999999999998</v>
      </c>
    </row>
    <row r="55" spans="1:4">
      <c r="A55" s="48">
        <v>8340</v>
      </c>
      <c r="B55" s="49" t="s">
        <v>102</v>
      </c>
      <c r="C55" s="49" t="s">
        <v>100</v>
      </c>
      <c r="D55" s="94">
        <v>2.2172999999999998</v>
      </c>
    </row>
    <row r="56" spans="1:4">
      <c r="A56" s="48">
        <v>8340</v>
      </c>
      <c r="B56" s="49" t="s">
        <v>103</v>
      </c>
      <c r="C56" s="49" t="s">
        <v>100</v>
      </c>
      <c r="D56" s="94">
        <v>2.2172999999999998</v>
      </c>
    </row>
    <row r="57" spans="1:4">
      <c r="A57" s="48">
        <v>8340</v>
      </c>
      <c r="B57" s="49" t="s">
        <v>104</v>
      </c>
      <c r="C57" s="49" t="s">
        <v>100</v>
      </c>
      <c r="D57" s="94">
        <v>2.2172999999999998</v>
      </c>
    </row>
    <row r="58" spans="1:4">
      <c r="A58" s="48">
        <v>8420</v>
      </c>
      <c r="B58" s="49" t="s">
        <v>105</v>
      </c>
      <c r="C58" s="49" t="s">
        <v>106</v>
      </c>
      <c r="D58" s="94">
        <v>2.2172999999999998</v>
      </c>
    </row>
    <row r="59" spans="1:4">
      <c r="A59" s="48">
        <v>8421</v>
      </c>
      <c r="B59" s="49" t="s">
        <v>107</v>
      </c>
      <c r="C59" s="49" t="s">
        <v>106</v>
      </c>
      <c r="D59" s="94">
        <v>2.2172999999999998</v>
      </c>
    </row>
    <row r="60" spans="1:4">
      <c r="A60" s="48">
        <v>8420</v>
      </c>
      <c r="B60" s="49" t="s">
        <v>108</v>
      </c>
      <c r="C60" s="49" t="s">
        <v>106</v>
      </c>
      <c r="D60" s="94">
        <v>2.2172999999999998</v>
      </c>
    </row>
    <row r="61" spans="1:4">
      <c r="A61" s="48">
        <v>9800</v>
      </c>
      <c r="B61" s="49" t="s">
        <v>109</v>
      </c>
      <c r="C61" s="49" t="s">
        <v>110</v>
      </c>
      <c r="D61" s="94">
        <v>2.2172999999999998</v>
      </c>
    </row>
    <row r="62" spans="1:4">
      <c r="A62" s="48">
        <v>9800</v>
      </c>
      <c r="B62" s="49" t="s">
        <v>111</v>
      </c>
      <c r="C62" s="49" t="s">
        <v>110</v>
      </c>
      <c r="D62" s="94">
        <v>2.2172999999999998</v>
      </c>
    </row>
    <row r="63" spans="1:4">
      <c r="A63" s="48">
        <v>9800</v>
      </c>
      <c r="B63" s="49" t="s">
        <v>110</v>
      </c>
      <c r="C63" s="49" t="s">
        <v>110</v>
      </c>
      <c r="D63" s="94">
        <v>2.2172999999999998</v>
      </c>
    </row>
    <row r="64" spans="1:4">
      <c r="A64" s="48">
        <v>9800</v>
      </c>
      <c r="B64" s="49" t="s">
        <v>112</v>
      </c>
      <c r="C64" s="49" t="s">
        <v>110</v>
      </c>
      <c r="D64" s="94">
        <v>2.2172999999999998</v>
      </c>
    </row>
    <row r="65" spans="1:4">
      <c r="A65" s="48">
        <v>9800</v>
      </c>
      <c r="B65" s="49" t="s">
        <v>113</v>
      </c>
      <c r="C65" s="49" t="s">
        <v>110</v>
      </c>
      <c r="D65" s="94">
        <v>2.2172999999999998</v>
      </c>
    </row>
    <row r="66" spans="1:4">
      <c r="A66" s="48">
        <v>9800</v>
      </c>
      <c r="B66" s="49" t="s">
        <v>114</v>
      </c>
      <c r="C66" s="49" t="s">
        <v>110</v>
      </c>
      <c r="D66" s="94">
        <v>2.2172999999999998</v>
      </c>
    </row>
    <row r="67" spans="1:4">
      <c r="A67" s="48">
        <v>9800</v>
      </c>
      <c r="B67" s="49" t="s">
        <v>115</v>
      </c>
      <c r="C67" s="49" t="s">
        <v>110</v>
      </c>
      <c r="D67" s="94">
        <v>2.2172999999999998</v>
      </c>
    </row>
    <row r="68" spans="1:4">
      <c r="A68" s="48">
        <v>9800</v>
      </c>
      <c r="B68" s="49" t="s">
        <v>116</v>
      </c>
      <c r="C68" s="49" t="s">
        <v>110</v>
      </c>
      <c r="D68" s="94">
        <v>2.2172999999999998</v>
      </c>
    </row>
    <row r="69" spans="1:4">
      <c r="A69" s="48">
        <v>9800</v>
      </c>
      <c r="B69" s="49" t="s">
        <v>117</v>
      </c>
      <c r="C69" s="49" t="s">
        <v>110</v>
      </c>
      <c r="D69" s="94">
        <v>2.2172999999999998</v>
      </c>
    </row>
    <row r="70" spans="1:4">
      <c r="A70" s="48">
        <v>9800</v>
      </c>
      <c r="B70" s="49" t="s">
        <v>118</v>
      </c>
      <c r="C70" s="49" t="s">
        <v>110</v>
      </c>
      <c r="D70" s="94">
        <v>2.2172999999999998</v>
      </c>
    </row>
    <row r="71" spans="1:4">
      <c r="A71" s="48">
        <v>9800</v>
      </c>
      <c r="B71" s="49" t="s">
        <v>119</v>
      </c>
      <c r="C71" s="49" t="s">
        <v>110</v>
      </c>
      <c r="D71" s="94">
        <v>2.2172999999999998</v>
      </c>
    </row>
    <row r="72" spans="1:4">
      <c r="A72" s="48">
        <v>9200</v>
      </c>
      <c r="B72" s="49" t="s">
        <v>120</v>
      </c>
      <c r="C72" s="49" t="s">
        <v>121</v>
      </c>
      <c r="D72" s="94">
        <v>2.2172999999999998</v>
      </c>
    </row>
    <row r="73" spans="1:4">
      <c r="A73" s="48">
        <v>9200</v>
      </c>
      <c r="B73" s="49" t="s">
        <v>122</v>
      </c>
      <c r="C73" s="49" t="s">
        <v>121</v>
      </c>
      <c r="D73" s="94">
        <v>2.2172999999999998</v>
      </c>
    </row>
    <row r="74" spans="1:4">
      <c r="A74" s="48">
        <v>9200</v>
      </c>
      <c r="B74" s="49" t="s">
        <v>121</v>
      </c>
      <c r="C74" s="49" t="s">
        <v>121</v>
      </c>
      <c r="D74" s="94">
        <v>2.2172999999999998</v>
      </c>
    </row>
    <row r="75" spans="1:4">
      <c r="A75" s="48">
        <v>9200</v>
      </c>
      <c r="B75" s="49" t="s">
        <v>123</v>
      </c>
      <c r="C75" s="49" t="s">
        <v>121</v>
      </c>
      <c r="D75" s="94">
        <v>2.2172999999999998</v>
      </c>
    </row>
    <row r="76" spans="1:4">
      <c r="A76" s="48">
        <v>9200</v>
      </c>
      <c r="B76" s="49" t="s">
        <v>124</v>
      </c>
      <c r="C76" s="49" t="s">
        <v>121</v>
      </c>
      <c r="D76" s="94">
        <v>2.2172999999999998</v>
      </c>
    </row>
    <row r="77" spans="1:4">
      <c r="A77" s="48">
        <v>9200</v>
      </c>
      <c r="B77" s="49" t="s">
        <v>125</v>
      </c>
      <c r="C77" s="49" t="s">
        <v>121</v>
      </c>
      <c r="D77" s="94">
        <v>2.2172999999999998</v>
      </c>
    </row>
    <row r="78" spans="1:4">
      <c r="A78" s="48">
        <v>9200</v>
      </c>
      <c r="B78" s="49" t="s">
        <v>126</v>
      </c>
      <c r="C78" s="49" t="s">
        <v>121</v>
      </c>
      <c r="D78" s="94">
        <v>2.2172999999999998</v>
      </c>
    </row>
    <row r="79" spans="1:4">
      <c r="A79" s="48">
        <v>9200</v>
      </c>
      <c r="B79" s="49" t="s">
        <v>127</v>
      </c>
      <c r="C79" s="49" t="s">
        <v>121</v>
      </c>
      <c r="D79" s="94">
        <v>2.2172999999999998</v>
      </c>
    </row>
    <row r="80" spans="1:4">
      <c r="A80" s="48">
        <v>9840</v>
      </c>
      <c r="B80" s="49" t="s">
        <v>128</v>
      </c>
      <c r="C80" s="49" t="s">
        <v>128</v>
      </c>
      <c r="D80" s="94">
        <v>2.2172999999999998</v>
      </c>
    </row>
    <row r="81" spans="1:4">
      <c r="A81" s="48">
        <v>9840</v>
      </c>
      <c r="B81" s="49" t="s">
        <v>129</v>
      </c>
      <c r="C81" s="49" t="s">
        <v>128</v>
      </c>
      <c r="D81" s="94">
        <v>2.2172999999999998</v>
      </c>
    </row>
    <row r="82" spans="1:4">
      <c r="A82" s="48">
        <v>9070</v>
      </c>
      <c r="B82" s="49" t="s">
        <v>130</v>
      </c>
      <c r="C82" s="49" t="s">
        <v>130</v>
      </c>
      <c r="D82" s="94">
        <v>2.2172999999999998</v>
      </c>
    </row>
    <row r="83" spans="1:4">
      <c r="A83" s="48">
        <v>9070</v>
      </c>
      <c r="B83" s="49" t="s">
        <v>131</v>
      </c>
      <c r="C83" s="49" t="s">
        <v>130</v>
      </c>
      <c r="D83" s="94">
        <v>2.2172999999999998</v>
      </c>
    </row>
    <row r="84" spans="1:4">
      <c r="A84" s="48">
        <v>1700</v>
      </c>
      <c r="B84" s="49" t="s">
        <v>132</v>
      </c>
      <c r="C84" s="49" t="s">
        <v>132</v>
      </c>
      <c r="D84" s="94">
        <v>2.2172999999999998</v>
      </c>
    </row>
    <row r="85" spans="1:4">
      <c r="A85" s="50">
        <v>1620</v>
      </c>
      <c r="B85" s="51" t="s">
        <v>368</v>
      </c>
      <c r="C85" s="51" t="s">
        <v>368</v>
      </c>
      <c r="D85" s="95">
        <v>2.1476000000000002</v>
      </c>
    </row>
    <row r="86" spans="1:4">
      <c r="A86" s="48">
        <v>9420</v>
      </c>
      <c r="B86" s="49" t="s">
        <v>133</v>
      </c>
      <c r="C86" s="49" t="s">
        <v>134</v>
      </c>
      <c r="D86" s="94">
        <v>2.2172999999999998</v>
      </c>
    </row>
    <row r="87" spans="1:4">
      <c r="A87" s="48">
        <v>9420</v>
      </c>
      <c r="B87" s="49" t="s">
        <v>135</v>
      </c>
      <c r="C87" s="49" t="s">
        <v>134</v>
      </c>
      <c r="D87" s="94">
        <v>2.2172999999999998</v>
      </c>
    </row>
    <row r="88" spans="1:4">
      <c r="A88" s="48">
        <v>9420</v>
      </c>
      <c r="B88" s="49" t="s">
        <v>136</v>
      </c>
      <c r="C88" s="49" t="s">
        <v>134</v>
      </c>
      <c r="D88" s="94">
        <v>2.2172999999999998</v>
      </c>
    </row>
    <row r="89" spans="1:4">
      <c r="A89" s="48">
        <v>9420</v>
      </c>
      <c r="B89" s="49" t="s">
        <v>137</v>
      </c>
      <c r="C89" s="49" t="s">
        <v>134</v>
      </c>
      <c r="D89" s="94">
        <v>2.2172999999999998</v>
      </c>
    </row>
    <row r="90" spans="1:4">
      <c r="A90" s="48">
        <v>9420</v>
      </c>
      <c r="B90" s="49" t="s">
        <v>138</v>
      </c>
      <c r="C90" s="49" t="s">
        <v>134</v>
      </c>
      <c r="D90" s="94">
        <v>2.2172999999999998</v>
      </c>
    </row>
    <row r="91" spans="1:4">
      <c r="A91" s="48">
        <v>9420</v>
      </c>
      <c r="B91" s="49" t="s">
        <v>139</v>
      </c>
      <c r="C91" s="49" t="s">
        <v>134</v>
      </c>
      <c r="D91" s="94">
        <v>2.2172999999999998</v>
      </c>
    </row>
    <row r="92" spans="1:4">
      <c r="A92" s="48">
        <v>9420</v>
      </c>
      <c r="B92" s="49" t="s">
        <v>140</v>
      </c>
      <c r="C92" s="49" t="s">
        <v>134</v>
      </c>
      <c r="D92" s="94">
        <v>2.2172999999999998</v>
      </c>
    </row>
    <row r="93" spans="1:4">
      <c r="A93" s="48">
        <v>9420</v>
      </c>
      <c r="B93" s="49" t="s">
        <v>141</v>
      </c>
      <c r="C93" s="49" t="s">
        <v>134</v>
      </c>
      <c r="D93" s="94">
        <v>2.2172999999999998</v>
      </c>
    </row>
    <row r="94" spans="1:4">
      <c r="A94" s="48">
        <v>9890</v>
      </c>
      <c r="B94" s="49" t="s">
        <v>142</v>
      </c>
      <c r="C94" s="49" t="s">
        <v>143</v>
      </c>
      <c r="D94" s="94">
        <v>2.2172999999999998</v>
      </c>
    </row>
    <row r="95" spans="1:4">
      <c r="A95" s="48">
        <v>9890</v>
      </c>
      <c r="B95" s="49" t="s">
        <v>144</v>
      </c>
      <c r="C95" s="49" t="s">
        <v>143</v>
      </c>
      <c r="D95" s="94">
        <v>2.2172999999999998</v>
      </c>
    </row>
    <row r="96" spans="1:4">
      <c r="A96" s="48">
        <v>9890</v>
      </c>
      <c r="B96" s="49" t="s">
        <v>145</v>
      </c>
      <c r="C96" s="49" t="s">
        <v>143</v>
      </c>
      <c r="D96" s="94">
        <v>2.2172999999999998</v>
      </c>
    </row>
    <row r="97" spans="1:4">
      <c r="A97" s="48">
        <v>9890</v>
      </c>
      <c r="B97" s="49" t="s">
        <v>143</v>
      </c>
      <c r="C97" s="49" t="s">
        <v>143</v>
      </c>
      <c r="D97" s="94">
        <v>2.2172999999999998</v>
      </c>
    </row>
    <row r="98" spans="1:4">
      <c r="A98" s="48">
        <v>9890</v>
      </c>
      <c r="B98" s="49" t="s">
        <v>146</v>
      </c>
      <c r="C98" s="49" t="s">
        <v>143</v>
      </c>
      <c r="D98" s="94">
        <v>2.2172999999999998</v>
      </c>
    </row>
    <row r="99" spans="1:4">
      <c r="A99" s="48">
        <v>9890</v>
      </c>
      <c r="B99" s="49" t="s">
        <v>147</v>
      </c>
      <c r="C99" s="49" t="s">
        <v>143</v>
      </c>
      <c r="D99" s="94">
        <v>2.2172999999999998</v>
      </c>
    </row>
    <row r="100" spans="1:4">
      <c r="A100" s="48">
        <v>9042</v>
      </c>
      <c r="B100" s="49" t="s">
        <v>148</v>
      </c>
      <c r="C100" s="49" t="s">
        <v>149</v>
      </c>
      <c r="D100" s="94">
        <v>2.2172999999999998</v>
      </c>
    </row>
    <row r="101" spans="1:4">
      <c r="A101" s="48">
        <v>9031</v>
      </c>
      <c r="B101" s="49" t="s">
        <v>150</v>
      </c>
      <c r="C101" s="49" t="s">
        <v>149</v>
      </c>
      <c r="D101" s="94">
        <v>2.2172999999999998</v>
      </c>
    </row>
    <row r="102" spans="1:4">
      <c r="A102" s="48">
        <v>9050</v>
      </c>
      <c r="B102" s="49" t="s">
        <v>151</v>
      </c>
      <c r="C102" s="49" t="s">
        <v>149</v>
      </c>
      <c r="D102" s="94">
        <v>2.2172999999999998</v>
      </c>
    </row>
    <row r="103" spans="1:4">
      <c r="A103" s="48">
        <v>9000</v>
      </c>
      <c r="B103" s="49" t="s">
        <v>152</v>
      </c>
      <c r="C103" s="49" t="s">
        <v>149</v>
      </c>
      <c r="D103" s="94">
        <v>2.2172999999999998</v>
      </c>
    </row>
    <row r="104" spans="1:4">
      <c r="A104" s="48">
        <v>9050</v>
      </c>
      <c r="B104" s="49" t="s">
        <v>153</v>
      </c>
      <c r="C104" s="49" t="s">
        <v>149</v>
      </c>
      <c r="D104" s="94">
        <v>2.2172999999999998</v>
      </c>
    </row>
    <row r="105" spans="1:4">
      <c r="A105" s="48">
        <v>9030</v>
      </c>
      <c r="B105" s="49" t="s">
        <v>154</v>
      </c>
      <c r="C105" s="49" t="s">
        <v>149</v>
      </c>
      <c r="D105" s="94">
        <v>2.2172999999999998</v>
      </c>
    </row>
    <row r="106" spans="1:4">
      <c r="A106" s="48">
        <v>9042</v>
      </c>
      <c r="B106" s="49" t="s">
        <v>155</v>
      </c>
      <c r="C106" s="49" t="s">
        <v>149</v>
      </c>
      <c r="D106" s="94">
        <v>2.2172999999999998</v>
      </c>
    </row>
    <row r="107" spans="1:4">
      <c r="A107" s="48">
        <v>9041</v>
      </c>
      <c r="B107" s="49" t="s">
        <v>156</v>
      </c>
      <c r="C107" s="49" t="s">
        <v>149</v>
      </c>
      <c r="D107" s="94">
        <v>2.2172999999999998</v>
      </c>
    </row>
    <row r="108" spans="1:4">
      <c r="A108" s="48">
        <v>9040</v>
      </c>
      <c r="B108" s="49" t="s">
        <v>157</v>
      </c>
      <c r="C108" s="49" t="s">
        <v>149</v>
      </c>
      <c r="D108" s="94">
        <v>2.2172999999999998</v>
      </c>
    </row>
    <row r="109" spans="1:4">
      <c r="A109" s="48">
        <v>9051</v>
      </c>
      <c r="B109" s="49" t="s">
        <v>158</v>
      </c>
      <c r="C109" s="49" t="s">
        <v>149</v>
      </c>
      <c r="D109" s="94">
        <v>2.2172999999999998</v>
      </c>
    </row>
    <row r="110" spans="1:4">
      <c r="A110" s="48">
        <v>9051</v>
      </c>
      <c r="B110" s="49" t="s">
        <v>159</v>
      </c>
      <c r="C110" s="49" t="s">
        <v>149</v>
      </c>
      <c r="D110" s="94">
        <v>2.2172999999999998</v>
      </c>
    </row>
    <row r="111" spans="1:4">
      <c r="A111" s="48">
        <v>9042</v>
      </c>
      <c r="B111" s="49" t="s">
        <v>160</v>
      </c>
      <c r="C111" s="49" t="s">
        <v>149</v>
      </c>
      <c r="D111" s="94">
        <v>2.2172999999999998</v>
      </c>
    </row>
    <row r="112" spans="1:4">
      <c r="A112" s="48">
        <v>9032</v>
      </c>
      <c r="B112" s="49" t="s">
        <v>161</v>
      </c>
      <c r="C112" s="49" t="s">
        <v>149</v>
      </c>
      <c r="D112" s="94">
        <v>2.2172999999999998</v>
      </c>
    </row>
    <row r="113" spans="1:4">
      <c r="A113" s="48">
        <v>9052</v>
      </c>
      <c r="B113" s="49" t="s">
        <v>162</v>
      </c>
      <c r="C113" s="49" t="s">
        <v>149</v>
      </c>
      <c r="D113" s="94">
        <v>2.2172999999999998</v>
      </c>
    </row>
    <row r="114" spans="1:4">
      <c r="A114" s="48">
        <v>1500</v>
      </c>
      <c r="B114" s="49" t="s">
        <v>163</v>
      </c>
      <c r="C114" s="49" t="s">
        <v>163</v>
      </c>
      <c r="D114" s="94">
        <v>2.2172999999999998</v>
      </c>
    </row>
    <row r="115" spans="1:4">
      <c r="A115" s="48">
        <v>9220</v>
      </c>
      <c r="B115" s="49" t="s">
        <v>164</v>
      </c>
      <c r="C115" s="49" t="s">
        <v>164</v>
      </c>
      <c r="D115" s="94">
        <v>2.2172999999999998</v>
      </c>
    </row>
    <row r="116" spans="1:4">
      <c r="A116" s="48">
        <v>9220</v>
      </c>
      <c r="B116" s="49" t="s">
        <v>165</v>
      </c>
      <c r="C116" s="49" t="s">
        <v>164</v>
      </c>
      <c r="D116" s="94">
        <v>2.2172999999999998</v>
      </c>
    </row>
    <row r="117" spans="1:4">
      <c r="A117" s="48">
        <v>9552</v>
      </c>
      <c r="B117" s="49" t="s">
        <v>166</v>
      </c>
      <c r="C117" s="49" t="s">
        <v>167</v>
      </c>
      <c r="D117" s="94">
        <v>2.2172999999999998</v>
      </c>
    </row>
    <row r="118" spans="1:4">
      <c r="A118" s="48">
        <v>9550</v>
      </c>
      <c r="B118" s="49" t="s">
        <v>167</v>
      </c>
      <c r="C118" s="49" t="s">
        <v>167</v>
      </c>
      <c r="D118" s="94">
        <v>2.2172999999999998</v>
      </c>
    </row>
    <row r="119" spans="1:4">
      <c r="A119" s="48">
        <v>9550</v>
      </c>
      <c r="B119" s="49" t="s">
        <v>168</v>
      </c>
      <c r="C119" s="49" t="s">
        <v>167</v>
      </c>
      <c r="D119" s="94">
        <v>2.2172999999999998</v>
      </c>
    </row>
    <row r="120" spans="1:4">
      <c r="A120" s="48">
        <v>9551</v>
      </c>
      <c r="B120" s="49" t="s">
        <v>169</v>
      </c>
      <c r="C120" s="49" t="s">
        <v>167</v>
      </c>
      <c r="D120" s="94">
        <v>2.2172999999999998</v>
      </c>
    </row>
    <row r="121" spans="1:4">
      <c r="A121" s="48">
        <v>9550</v>
      </c>
      <c r="B121" s="49" t="s">
        <v>170</v>
      </c>
      <c r="C121" s="49" t="s">
        <v>167</v>
      </c>
      <c r="D121" s="94">
        <v>2.2172999999999998</v>
      </c>
    </row>
    <row r="122" spans="1:4">
      <c r="A122" s="48">
        <v>9550</v>
      </c>
      <c r="B122" s="49" t="s">
        <v>171</v>
      </c>
      <c r="C122" s="49" t="s">
        <v>167</v>
      </c>
      <c r="D122" s="94">
        <v>2.2172999999999998</v>
      </c>
    </row>
    <row r="123" spans="1:4">
      <c r="A123" s="48">
        <v>9550</v>
      </c>
      <c r="B123" s="49" t="s">
        <v>172</v>
      </c>
      <c r="C123" s="49" t="s">
        <v>167</v>
      </c>
      <c r="D123" s="94">
        <v>2.2172999999999998</v>
      </c>
    </row>
    <row r="124" spans="1:4">
      <c r="A124" s="48">
        <v>9550</v>
      </c>
      <c r="B124" s="49" t="s">
        <v>173</v>
      </c>
      <c r="C124" s="49" t="s">
        <v>167</v>
      </c>
      <c r="D124" s="94">
        <v>2.2172999999999998</v>
      </c>
    </row>
    <row r="125" spans="1:4">
      <c r="A125" s="48">
        <v>9667</v>
      </c>
      <c r="B125" s="49" t="s">
        <v>174</v>
      </c>
      <c r="C125" s="49" t="s">
        <v>175</v>
      </c>
      <c r="D125" s="94">
        <v>2.2172999999999998</v>
      </c>
    </row>
    <row r="126" spans="1:4">
      <c r="A126" s="48">
        <v>9667</v>
      </c>
      <c r="B126" s="49" t="s">
        <v>176</v>
      </c>
      <c r="C126" s="49" t="s">
        <v>175</v>
      </c>
      <c r="D126" s="94">
        <v>2.2172999999999998</v>
      </c>
    </row>
    <row r="127" spans="1:4">
      <c r="A127" s="48">
        <v>8490</v>
      </c>
      <c r="B127" s="49" t="s">
        <v>177</v>
      </c>
      <c r="C127" s="49" t="s">
        <v>178</v>
      </c>
      <c r="D127" s="94">
        <v>2.2172999999999998</v>
      </c>
    </row>
    <row r="128" spans="1:4">
      <c r="A128" s="48">
        <v>8490</v>
      </c>
      <c r="B128" s="49" t="s">
        <v>179</v>
      </c>
      <c r="C128" s="49" t="s">
        <v>178</v>
      </c>
      <c r="D128" s="94">
        <v>2.2172999999999998</v>
      </c>
    </row>
    <row r="129" spans="1:4">
      <c r="A129" s="48">
        <v>8490</v>
      </c>
      <c r="B129" s="49" t="s">
        <v>180</v>
      </c>
      <c r="C129" s="49" t="s">
        <v>178</v>
      </c>
      <c r="D129" s="94">
        <v>2.2172999999999998</v>
      </c>
    </row>
    <row r="130" spans="1:4">
      <c r="A130" s="48">
        <v>8490</v>
      </c>
      <c r="B130" s="49" t="s">
        <v>178</v>
      </c>
      <c r="C130" s="49" t="s">
        <v>178</v>
      </c>
      <c r="D130" s="94">
        <v>2.2172999999999998</v>
      </c>
    </row>
    <row r="131" spans="1:4">
      <c r="A131" s="48">
        <v>8490</v>
      </c>
      <c r="B131" s="49" t="s">
        <v>181</v>
      </c>
      <c r="C131" s="49" t="s">
        <v>178</v>
      </c>
      <c r="D131" s="94">
        <v>2.2172999999999998</v>
      </c>
    </row>
    <row r="132" spans="1:4">
      <c r="A132" s="48">
        <v>9690</v>
      </c>
      <c r="B132" s="49" t="s">
        <v>182</v>
      </c>
      <c r="C132" s="49" t="s">
        <v>183</v>
      </c>
      <c r="D132" s="94">
        <v>2.2172999999999998</v>
      </c>
    </row>
    <row r="133" spans="1:4">
      <c r="A133" s="48">
        <v>9690</v>
      </c>
      <c r="B133" s="49" t="s">
        <v>184</v>
      </c>
      <c r="C133" s="49" t="s">
        <v>183</v>
      </c>
      <c r="D133" s="94">
        <v>2.2172999999999998</v>
      </c>
    </row>
    <row r="134" spans="1:4">
      <c r="A134" s="48">
        <v>9690</v>
      </c>
      <c r="B134" s="49" t="s">
        <v>185</v>
      </c>
      <c r="C134" s="49" t="s">
        <v>183</v>
      </c>
      <c r="D134" s="94">
        <v>2.2172999999999998</v>
      </c>
    </row>
    <row r="135" spans="1:4">
      <c r="A135" s="48">
        <v>9690</v>
      </c>
      <c r="B135" s="49" t="s">
        <v>186</v>
      </c>
      <c r="C135" s="49" t="s">
        <v>183</v>
      </c>
      <c r="D135" s="94">
        <v>2.2172999999999998</v>
      </c>
    </row>
    <row r="136" spans="1:4">
      <c r="A136" s="48">
        <v>9910</v>
      </c>
      <c r="B136" s="49" t="s">
        <v>187</v>
      </c>
      <c r="C136" s="49" t="s">
        <v>187</v>
      </c>
      <c r="D136" s="94">
        <v>2.2172999999999998</v>
      </c>
    </row>
    <row r="137" spans="1:4">
      <c r="A137" s="48">
        <v>9910</v>
      </c>
      <c r="B137" s="49" t="s">
        <v>188</v>
      </c>
      <c r="C137" s="49" t="s">
        <v>187</v>
      </c>
      <c r="D137" s="94">
        <v>2.2172999999999998</v>
      </c>
    </row>
    <row r="138" spans="1:4">
      <c r="A138" s="48">
        <v>9770</v>
      </c>
      <c r="B138" s="49" t="s">
        <v>189</v>
      </c>
      <c r="C138" s="49" t="s">
        <v>189</v>
      </c>
      <c r="D138" s="94">
        <v>2.2172999999999998</v>
      </c>
    </row>
    <row r="139" spans="1:4">
      <c r="A139" s="48">
        <v>9770</v>
      </c>
      <c r="B139" s="49" t="s">
        <v>190</v>
      </c>
      <c r="C139" s="49" t="s">
        <v>189</v>
      </c>
      <c r="D139" s="94">
        <v>2.2172999999999998</v>
      </c>
    </row>
    <row r="140" spans="1:4">
      <c r="A140" s="48">
        <v>9771</v>
      </c>
      <c r="B140" s="49" t="s">
        <v>191</v>
      </c>
      <c r="C140" s="49" t="s">
        <v>189</v>
      </c>
      <c r="D140" s="94">
        <v>2.2172999999999998</v>
      </c>
    </row>
    <row r="141" spans="1:4">
      <c r="A141" s="48">
        <v>9772</v>
      </c>
      <c r="B141" s="49" t="s">
        <v>192</v>
      </c>
      <c r="C141" s="49" t="s">
        <v>189</v>
      </c>
      <c r="D141" s="94">
        <v>2.2172999999999998</v>
      </c>
    </row>
    <row r="142" spans="1:4">
      <c r="A142" s="48">
        <v>9280</v>
      </c>
      <c r="B142" s="49" t="s">
        <v>193</v>
      </c>
      <c r="C142" s="49" t="s">
        <v>194</v>
      </c>
      <c r="D142" s="94">
        <v>2.2172999999999998</v>
      </c>
    </row>
    <row r="143" spans="1:4">
      <c r="A143" s="48">
        <v>9280</v>
      </c>
      <c r="B143" s="49" t="s">
        <v>194</v>
      </c>
      <c r="C143" s="49" t="s">
        <v>194</v>
      </c>
      <c r="D143" s="94">
        <v>2.2172999999999998</v>
      </c>
    </row>
    <row r="144" spans="1:4">
      <c r="A144" s="48">
        <v>9280</v>
      </c>
      <c r="B144" s="49" t="s">
        <v>195</v>
      </c>
      <c r="C144" s="49" t="s">
        <v>194</v>
      </c>
      <c r="D144" s="94">
        <v>2.2172999999999998</v>
      </c>
    </row>
    <row r="145" spans="1:4">
      <c r="A145" s="48">
        <v>9340</v>
      </c>
      <c r="B145" s="49" t="s">
        <v>196</v>
      </c>
      <c r="C145" s="49" t="s">
        <v>197</v>
      </c>
      <c r="D145" s="94">
        <v>2.2172999999999998</v>
      </c>
    </row>
    <row r="146" spans="1:4">
      <c r="A146" s="48">
        <v>9340</v>
      </c>
      <c r="B146" s="49" t="s">
        <v>197</v>
      </c>
      <c r="C146" s="49" t="s">
        <v>197</v>
      </c>
      <c r="D146" s="94">
        <v>2.2172999999999998</v>
      </c>
    </row>
    <row r="147" spans="1:4">
      <c r="A147" s="48">
        <v>9340</v>
      </c>
      <c r="B147" s="49" t="s">
        <v>198</v>
      </c>
      <c r="C147" s="49" t="s">
        <v>197</v>
      </c>
      <c r="D147" s="94">
        <v>2.2172999999999998</v>
      </c>
    </row>
    <row r="148" spans="1:4">
      <c r="A148" s="48">
        <v>9340</v>
      </c>
      <c r="B148" s="49" t="s">
        <v>199</v>
      </c>
      <c r="C148" s="49" t="s">
        <v>197</v>
      </c>
      <c r="D148" s="94">
        <v>2.2172999999999998</v>
      </c>
    </row>
    <row r="149" spans="1:4">
      <c r="A149" s="48">
        <v>9340</v>
      </c>
      <c r="B149" s="49" t="s">
        <v>200</v>
      </c>
      <c r="C149" s="49" t="s">
        <v>197</v>
      </c>
      <c r="D149" s="94">
        <v>2.2172999999999998</v>
      </c>
    </row>
    <row r="150" spans="1:4">
      <c r="A150" s="48">
        <v>1770</v>
      </c>
      <c r="B150" s="49" t="s">
        <v>201</v>
      </c>
      <c r="C150" s="49" t="s">
        <v>201</v>
      </c>
      <c r="D150" s="94">
        <v>2.2172999999999998</v>
      </c>
    </row>
    <row r="151" spans="1:4">
      <c r="A151" s="48">
        <v>9570</v>
      </c>
      <c r="B151" s="49" t="s">
        <v>202</v>
      </c>
      <c r="C151" s="49" t="s">
        <v>203</v>
      </c>
      <c r="D151" s="94">
        <v>2.2172999999999998</v>
      </c>
    </row>
    <row r="152" spans="1:4">
      <c r="A152" s="48">
        <v>9572</v>
      </c>
      <c r="B152" s="49" t="s">
        <v>204</v>
      </c>
      <c r="C152" s="49" t="s">
        <v>203</v>
      </c>
      <c r="D152" s="94">
        <v>2.2172999999999998</v>
      </c>
    </row>
    <row r="153" spans="1:4">
      <c r="A153" s="48">
        <v>9570</v>
      </c>
      <c r="B153" s="49" t="s">
        <v>205</v>
      </c>
      <c r="C153" s="49" t="s">
        <v>203</v>
      </c>
      <c r="D153" s="94">
        <v>2.2172999999999998</v>
      </c>
    </row>
    <row r="154" spans="1:4">
      <c r="A154" s="48">
        <v>1630</v>
      </c>
      <c r="B154" s="49" t="s">
        <v>369</v>
      </c>
      <c r="C154" s="49" t="s">
        <v>369</v>
      </c>
      <c r="D154" s="94">
        <v>2.2172999999999998</v>
      </c>
    </row>
    <row r="155" spans="1:4">
      <c r="A155" s="48">
        <v>9080</v>
      </c>
      <c r="B155" s="49" t="s">
        <v>206</v>
      </c>
      <c r="C155" s="49" t="s">
        <v>206</v>
      </c>
      <c r="D155" s="94">
        <v>2.2172999999999998</v>
      </c>
    </row>
    <row r="156" spans="1:4">
      <c r="A156" s="48">
        <v>9080</v>
      </c>
      <c r="B156" s="49" t="s">
        <v>207</v>
      </c>
      <c r="C156" s="49" t="s">
        <v>206</v>
      </c>
      <c r="D156" s="94">
        <v>2.2172999999999998</v>
      </c>
    </row>
    <row r="157" spans="1:4">
      <c r="A157" s="48">
        <v>9080</v>
      </c>
      <c r="B157" s="49" t="s">
        <v>208</v>
      </c>
      <c r="C157" s="49" t="s">
        <v>206</v>
      </c>
      <c r="D157" s="94">
        <v>2.2172999999999998</v>
      </c>
    </row>
    <row r="158" spans="1:4">
      <c r="A158" s="48">
        <v>9080</v>
      </c>
      <c r="B158" s="49" t="s">
        <v>209</v>
      </c>
      <c r="C158" s="49" t="s">
        <v>206</v>
      </c>
      <c r="D158" s="94">
        <v>2.2172999999999998</v>
      </c>
    </row>
    <row r="159" spans="1:4">
      <c r="A159" s="48">
        <v>9920</v>
      </c>
      <c r="B159" s="49" t="s">
        <v>210</v>
      </c>
      <c r="C159" s="49" t="s">
        <v>210</v>
      </c>
      <c r="D159" s="94">
        <v>2.2172999999999998</v>
      </c>
    </row>
    <row r="160" spans="1:4">
      <c r="A160" s="48">
        <v>9921</v>
      </c>
      <c r="B160" s="49" t="s">
        <v>211</v>
      </c>
      <c r="C160" s="49" t="s">
        <v>210</v>
      </c>
      <c r="D160" s="94">
        <v>2.2172999999999998</v>
      </c>
    </row>
    <row r="161" spans="1:4">
      <c r="A161" s="48">
        <v>9680</v>
      </c>
      <c r="B161" s="49" t="s">
        <v>212</v>
      </c>
      <c r="C161" s="49" t="s">
        <v>213</v>
      </c>
      <c r="D161" s="94">
        <v>2.2172999999999998</v>
      </c>
    </row>
    <row r="162" spans="1:4">
      <c r="A162" s="48">
        <v>9680</v>
      </c>
      <c r="B162" s="49" t="s">
        <v>214</v>
      </c>
      <c r="C162" s="49" t="s">
        <v>213</v>
      </c>
      <c r="D162" s="94">
        <v>2.2172999999999998</v>
      </c>
    </row>
    <row r="163" spans="1:4">
      <c r="A163" s="48">
        <v>9681</v>
      </c>
      <c r="B163" s="49" t="s">
        <v>215</v>
      </c>
      <c r="C163" s="49" t="s">
        <v>213</v>
      </c>
      <c r="D163" s="94">
        <v>2.2172999999999998</v>
      </c>
    </row>
    <row r="164" spans="1:4">
      <c r="A164" s="48">
        <v>9688</v>
      </c>
      <c r="B164" s="49" t="s">
        <v>216</v>
      </c>
      <c r="C164" s="49" t="s">
        <v>213</v>
      </c>
      <c r="D164" s="94">
        <v>2.2172999999999998</v>
      </c>
    </row>
    <row r="165" spans="1:4">
      <c r="A165" s="48">
        <v>1830</v>
      </c>
      <c r="B165" s="49" t="s">
        <v>217</v>
      </c>
      <c r="C165" s="49" t="s">
        <v>217</v>
      </c>
      <c r="D165" s="94">
        <v>2.2172999999999998</v>
      </c>
    </row>
    <row r="166" spans="1:4">
      <c r="A166" s="48">
        <v>1831</v>
      </c>
      <c r="B166" s="49" t="s">
        <v>218</v>
      </c>
      <c r="C166" s="49" t="s">
        <v>217</v>
      </c>
      <c r="D166" s="94">
        <v>2.2172999999999998</v>
      </c>
    </row>
    <row r="167" spans="1:4">
      <c r="A167" s="48">
        <v>9090</v>
      </c>
      <c r="B167" s="49" t="s">
        <v>219</v>
      </c>
      <c r="C167" s="49" t="s">
        <v>220</v>
      </c>
      <c r="D167" s="94">
        <v>2.2172999999999998</v>
      </c>
    </row>
    <row r="168" spans="1:4">
      <c r="A168" s="48">
        <v>9090</v>
      </c>
      <c r="B168" s="49" t="s">
        <v>220</v>
      </c>
      <c r="C168" s="49" t="s">
        <v>220</v>
      </c>
      <c r="D168" s="94">
        <v>2.2172999999999998</v>
      </c>
    </row>
    <row r="169" spans="1:4">
      <c r="A169" s="48">
        <v>9820</v>
      </c>
      <c r="B169" s="49" t="s">
        <v>221</v>
      </c>
      <c r="C169" s="49" t="s">
        <v>222</v>
      </c>
      <c r="D169" s="94">
        <v>2.2172999999999998</v>
      </c>
    </row>
    <row r="170" spans="1:4">
      <c r="A170" s="48">
        <v>9820</v>
      </c>
      <c r="B170" s="49" t="s">
        <v>223</v>
      </c>
      <c r="C170" s="49" t="s">
        <v>222</v>
      </c>
      <c r="D170" s="94">
        <v>2.2172999999999998</v>
      </c>
    </row>
    <row r="171" spans="1:4">
      <c r="A171" s="48">
        <v>9820</v>
      </c>
      <c r="B171" s="49" t="s">
        <v>224</v>
      </c>
      <c r="C171" s="49" t="s">
        <v>222</v>
      </c>
      <c r="D171" s="94">
        <v>2.2172999999999998</v>
      </c>
    </row>
    <row r="172" spans="1:4">
      <c r="A172" s="48">
        <v>9820</v>
      </c>
      <c r="B172" s="49" t="s">
        <v>222</v>
      </c>
      <c r="C172" s="49" t="s">
        <v>222</v>
      </c>
      <c r="D172" s="94">
        <v>2.2172999999999998</v>
      </c>
    </row>
    <row r="173" spans="1:4">
      <c r="A173" s="48">
        <v>9820</v>
      </c>
      <c r="B173" s="49" t="s">
        <v>225</v>
      </c>
      <c r="C173" s="49" t="s">
        <v>222</v>
      </c>
      <c r="D173" s="94">
        <v>2.2172999999999998</v>
      </c>
    </row>
    <row r="174" spans="1:4">
      <c r="A174" s="48">
        <v>9820</v>
      </c>
      <c r="B174" s="49" t="s">
        <v>226</v>
      </c>
      <c r="C174" s="49" t="s">
        <v>222</v>
      </c>
      <c r="D174" s="94">
        <v>2.2172999999999998</v>
      </c>
    </row>
    <row r="175" spans="1:4">
      <c r="A175" s="48">
        <v>8433</v>
      </c>
      <c r="B175" s="49" t="s">
        <v>227</v>
      </c>
      <c r="C175" s="49" t="s">
        <v>228</v>
      </c>
      <c r="D175" s="94">
        <v>2.2172999999999998</v>
      </c>
    </row>
    <row r="176" spans="1:4">
      <c r="A176" s="48">
        <v>8434</v>
      </c>
      <c r="B176" s="49" t="s">
        <v>229</v>
      </c>
      <c r="C176" s="49" t="s">
        <v>228</v>
      </c>
      <c r="D176" s="94">
        <v>2.2172999999999998</v>
      </c>
    </row>
    <row r="177" spans="1:4">
      <c r="A177" s="48">
        <v>8433</v>
      </c>
      <c r="B177" s="49" t="s">
        <v>230</v>
      </c>
      <c r="C177" s="49" t="s">
        <v>228</v>
      </c>
      <c r="D177" s="94">
        <v>2.2172999999999998</v>
      </c>
    </row>
    <row r="178" spans="1:4">
      <c r="A178" s="48">
        <v>8430</v>
      </c>
      <c r="B178" s="49" t="s">
        <v>228</v>
      </c>
      <c r="C178" s="49" t="s">
        <v>228</v>
      </c>
      <c r="D178" s="94">
        <v>2.2172999999999998</v>
      </c>
    </row>
    <row r="179" spans="1:4">
      <c r="A179" s="48">
        <v>8433</v>
      </c>
      <c r="B179" s="49" t="s">
        <v>231</v>
      </c>
      <c r="C179" s="49" t="s">
        <v>228</v>
      </c>
      <c r="D179" s="94">
        <v>2.2172999999999998</v>
      </c>
    </row>
    <row r="180" spans="1:4">
      <c r="A180" s="48">
        <v>8433</v>
      </c>
      <c r="B180" s="49" t="s">
        <v>232</v>
      </c>
      <c r="C180" s="49" t="s">
        <v>228</v>
      </c>
      <c r="D180" s="94">
        <v>2.2172999999999998</v>
      </c>
    </row>
    <row r="181" spans="1:4">
      <c r="A181" s="48">
        <v>8434</v>
      </c>
      <c r="B181" s="49" t="s">
        <v>233</v>
      </c>
      <c r="C181" s="49" t="s">
        <v>228</v>
      </c>
      <c r="D181" s="94">
        <v>2.2172999999999998</v>
      </c>
    </row>
    <row r="182" spans="1:4">
      <c r="A182" s="48">
        <v>8431</v>
      </c>
      <c r="B182" s="49" t="s">
        <v>234</v>
      </c>
      <c r="C182" s="49" t="s">
        <v>228</v>
      </c>
      <c r="D182" s="94">
        <v>2.2172999999999998</v>
      </c>
    </row>
    <row r="183" spans="1:4">
      <c r="A183" s="48">
        <v>8432</v>
      </c>
      <c r="B183" s="49" t="s">
        <v>235</v>
      </c>
      <c r="C183" s="49" t="s">
        <v>228</v>
      </c>
      <c r="D183" s="94">
        <v>2.2172999999999998</v>
      </c>
    </row>
    <row r="184" spans="1:4">
      <c r="A184" s="48">
        <v>8890</v>
      </c>
      <c r="B184" s="49" t="s">
        <v>236</v>
      </c>
      <c r="C184" s="49" t="s">
        <v>236</v>
      </c>
      <c r="D184" s="94">
        <v>2.2172999999999998</v>
      </c>
    </row>
    <row r="185" spans="1:4">
      <c r="A185" s="48">
        <v>9810</v>
      </c>
      <c r="B185" s="49" t="s">
        <v>237</v>
      </c>
      <c r="C185" s="49" t="s">
        <v>238</v>
      </c>
      <c r="D185" s="94">
        <v>2.2172999999999998</v>
      </c>
    </row>
    <row r="186" spans="1:4">
      <c r="A186" s="48">
        <v>9810</v>
      </c>
      <c r="B186" s="49" t="s">
        <v>238</v>
      </c>
      <c r="C186" s="49" t="s">
        <v>238</v>
      </c>
      <c r="D186" s="94">
        <v>2.2172999999999998</v>
      </c>
    </row>
    <row r="187" spans="1:4">
      <c r="A187" s="48">
        <v>9850</v>
      </c>
      <c r="B187" s="49" t="s">
        <v>239</v>
      </c>
      <c r="C187" s="49" t="s">
        <v>240</v>
      </c>
      <c r="D187" s="94">
        <v>2.2172999999999998</v>
      </c>
    </row>
    <row r="188" spans="1:4">
      <c r="A188" s="48">
        <v>9850</v>
      </c>
      <c r="B188" s="49" t="s">
        <v>241</v>
      </c>
      <c r="C188" s="49" t="s">
        <v>240</v>
      </c>
      <c r="D188" s="94">
        <v>2.2172999999999998</v>
      </c>
    </row>
    <row r="189" spans="1:4">
      <c r="A189" s="48">
        <v>9850</v>
      </c>
      <c r="B189" s="49" t="s">
        <v>242</v>
      </c>
      <c r="C189" s="49" t="s">
        <v>240</v>
      </c>
      <c r="D189" s="94">
        <v>2.2172999999999998</v>
      </c>
    </row>
    <row r="190" spans="1:4">
      <c r="A190" s="48">
        <v>9850</v>
      </c>
      <c r="B190" s="49" t="s">
        <v>240</v>
      </c>
      <c r="C190" s="49" t="s">
        <v>240</v>
      </c>
      <c r="D190" s="94">
        <v>2.2172999999999998</v>
      </c>
    </row>
    <row r="191" spans="1:4">
      <c r="A191" s="48">
        <v>9850</v>
      </c>
      <c r="B191" s="49" t="s">
        <v>243</v>
      </c>
      <c r="C191" s="49" t="s">
        <v>240</v>
      </c>
      <c r="D191" s="94">
        <v>2.2172999999999998</v>
      </c>
    </row>
    <row r="192" spans="1:4">
      <c r="A192" s="48">
        <v>9850</v>
      </c>
      <c r="B192" s="49" t="s">
        <v>244</v>
      </c>
      <c r="C192" s="49" t="s">
        <v>240</v>
      </c>
      <c r="D192" s="94">
        <v>2.2172999999999998</v>
      </c>
    </row>
    <row r="193" spans="1:4">
      <c r="A193" s="48">
        <v>8400</v>
      </c>
      <c r="B193" s="49" t="s">
        <v>245</v>
      </c>
      <c r="C193" s="49" t="s">
        <v>246</v>
      </c>
      <c r="D193" s="94">
        <v>2.2172999999999998</v>
      </c>
    </row>
    <row r="194" spans="1:4">
      <c r="A194" s="48">
        <v>8400</v>
      </c>
      <c r="B194" s="49" t="s">
        <v>246</v>
      </c>
      <c r="C194" s="49" t="s">
        <v>246</v>
      </c>
      <c r="D194" s="94">
        <v>2.2172999999999998</v>
      </c>
    </row>
    <row r="195" spans="1:4">
      <c r="A195" s="48">
        <v>8400</v>
      </c>
      <c r="B195" s="49" t="s">
        <v>247</v>
      </c>
      <c r="C195" s="49" t="s">
        <v>246</v>
      </c>
      <c r="D195" s="94">
        <v>2.2172999999999998</v>
      </c>
    </row>
    <row r="196" spans="1:4">
      <c r="A196" s="48">
        <v>8400</v>
      </c>
      <c r="B196" s="49" t="s">
        <v>248</v>
      </c>
      <c r="C196" s="49" t="s">
        <v>246</v>
      </c>
      <c r="D196" s="94">
        <v>2.2172999999999998</v>
      </c>
    </row>
    <row r="197" spans="1:4">
      <c r="A197" s="48">
        <v>8400</v>
      </c>
      <c r="B197" s="49" t="s">
        <v>249</v>
      </c>
      <c r="C197" s="49" t="s">
        <v>246</v>
      </c>
      <c r="D197" s="94">
        <v>2.2172999999999998</v>
      </c>
    </row>
    <row r="198" spans="1:4">
      <c r="A198" s="48">
        <v>9860</v>
      </c>
      <c r="B198" s="49" t="s">
        <v>250</v>
      </c>
      <c r="C198" s="49" t="s">
        <v>251</v>
      </c>
      <c r="D198" s="94">
        <v>2.2172999999999998</v>
      </c>
    </row>
    <row r="199" spans="1:4">
      <c r="A199" s="48">
        <v>9860</v>
      </c>
      <c r="B199" s="49" t="s">
        <v>252</v>
      </c>
      <c r="C199" s="49" t="s">
        <v>251</v>
      </c>
      <c r="D199" s="94">
        <v>2.2172999999999998</v>
      </c>
    </row>
    <row r="200" spans="1:4">
      <c r="A200" s="48">
        <v>9860</v>
      </c>
      <c r="B200" s="49" t="s">
        <v>253</v>
      </c>
      <c r="C200" s="49" t="s">
        <v>251</v>
      </c>
      <c r="D200" s="94">
        <v>2.2172999999999998</v>
      </c>
    </row>
    <row r="201" spans="1:4">
      <c r="A201" s="48">
        <v>9860</v>
      </c>
      <c r="B201" s="49" t="s">
        <v>254</v>
      </c>
      <c r="C201" s="49" t="s">
        <v>251</v>
      </c>
      <c r="D201" s="94">
        <v>2.2172999999999998</v>
      </c>
    </row>
    <row r="202" spans="1:4">
      <c r="A202" s="48">
        <v>9860</v>
      </c>
      <c r="B202" s="49" t="s">
        <v>251</v>
      </c>
      <c r="C202" s="49" t="s">
        <v>251</v>
      </c>
      <c r="D202" s="94">
        <v>2.2172999999999998</v>
      </c>
    </row>
    <row r="203" spans="1:4">
      <c r="A203" s="48">
        <v>9860</v>
      </c>
      <c r="B203" s="49" t="s">
        <v>255</v>
      </c>
      <c r="C203" s="49" t="s">
        <v>251</v>
      </c>
      <c r="D203" s="94">
        <v>2.2172999999999998</v>
      </c>
    </row>
    <row r="204" spans="1:4">
      <c r="A204" s="48">
        <v>8020</v>
      </c>
      <c r="B204" s="49" t="s">
        <v>256</v>
      </c>
      <c r="C204" s="49" t="s">
        <v>256</v>
      </c>
      <c r="D204" s="94">
        <v>2.2172999999999998</v>
      </c>
    </row>
    <row r="205" spans="1:4">
      <c r="A205" s="48">
        <v>8020</v>
      </c>
      <c r="B205" s="49" t="s">
        <v>257</v>
      </c>
      <c r="C205" s="49" t="s">
        <v>256</v>
      </c>
      <c r="D205" s="94">
        <v>2.2172999999999998</v>
      </c>
    </row>
    <row r="206" spans="1:4">
      <c r="A206" s="48">
        <v>8020</v>
      </c>
      <c r="B206" s="49" t="s">
        <v>258</v>
      </c>
      <c r="C206" s="49" t="s">
        <v>256</v>
      </c>
      <c r="D206" s="94">
        <v>2.2172999999999998</v>
      </c>
    </row>
    <row r="207" spans="1:4">
      <c r="A207" s="48">
        <v>8020</v>
      </c>
      <c r="B207" s="49" t="s">
        <v>259</v>
      </c>
      <c r="C207" s="49" t="s">
        <v>256</v>
      </c>
      <c r="D207" s="94">
        <v>2.2172999999999998</v>
      </c>
    </row>
    <row r="208" spans="1:4">
      <c r="A208" s="48">
        <v>9700</v>
      </c>
      <c r="B208" s="49" t="s">
        <v>260</v>
      </c>
      <c r="C208" s="49" t="s">
        <v>261</v>
      </c>
      <c r="D208" s="94">
        <v>2.2172999999999998</v>
      </c>
    </row>
    <row r="209" spans="1:4">
      <c r="A209" s="48">
        <v>9700</v>
      </c>
      <c r="B209" s="49" t="s">
        <v>262</v>
      </c>
      <c r="C209" s="49" t="s">
        <v>261</v>
      </c>
      <c r="D209" s="94">
        <v>2.2172999999999998</v>
      </c>
    </row>
    <row r="210" spans="1:4">
      <c r="A210" s="48">
        <v>9700</v>
      </c>
      <c r="B210" s="49" t="s">
        <v>263</v>
      </c>
      <c r="C210" s="49" t="s">
        <v>261</v>
      </c>
      <c r="D210" s="94">
        <v>2.2172999999999998</v>
      </c>
    </row>
    <row r="211" spans="1:4">
      <c r="A211" s="48">
        <v>9700</v>
      </c>
      <c r="B211" s="49" t="s">
        <v>264</v>
      </c>
      <c r="C211" s="49" t="s">
        <v>261</v>
      </c>
      <c r="D211" s="94">
        <v>2.2172999999999998</v>
      </c>
    </row>
    <row r="212" spans="1:4">
      <c r="A212" s="48">
        <v>9700</v>
      </c>
      <c r="B212" s="49" t="s">
        <v>265</v>
      </c>
      <c r="C212" s="49" t="s">
        <v>261</v>
      </c>
      <c r="D212" s="94">
        <v>2.2172999999999998</v>
      </c>
    </row>
    <row r="213" spans="1:4">
      <c r="A213" s="48">
        <v>9700</v>
      </c>
      <c r="B213" s="49" t="s">
        <v>266</v>
      </c>
      <c r="C213" s="49" t="s">
        <v>261</v>
      </c>
      <c r="D213" s="94">
        <v>2.2172999999999998</v>
      </c>
    </row>
    <row r="214" spans="1:4">
      <c r="A214" s="48">
        <v>9700</v>
      </c>
      <c r="B214" s="49" t="s">
        <v>267</v>
      </c>
      <c r="C214" s="49" t="s">
        <v>261</v>
      </c>
      <c r="D214" s="94">
        <v>2.2172999999999998</v>
      </c>
    </row>
    <row r="215" spans="1:4">
      <c r="A215" s="48">
        <v>9700</v>
      </c>
      <c r="B215" s="49" t="s">
        <v>268</v>
      </c>
      <c r="C215" s="49" t="s">
        <v>261</v>
      </c>
      <c r="D215" s="94">
        <v>2.2172999999999998</v>
      </c>
    </row>
    <row r="216" spans="1:4">
      <c r="A216" s="48">
        <v>9700</v>
      </c>
      <c r="B216" s="49" t="s">
        <v>269</v>
      </c>
      <c r="C216" s="49" t="s">
        <v>261</v>
      </c>
      <c r="D216" s="94">
        <v>2.2172999999999998</v>
      </c>
    </row>
    <row r="217" spans="1:4">
      <c r="A217" s="48">
        <v>9700</v>
      </c>
      <c r="B217" s="49" t="s">
        <v>270</v>
      </c>
      <c r="C217" s="49" t="s">
        <v>261</v>
      </c>
      <c r="D217" s="94">
        <v>2.2172999999999998</v>
      </c>
    </row>
    <row r="218" spans="1:4">
      <c r="A218" s="48">
        <v>9700</v>
      </c>
      <c r="B218" s="49" t="s">
        <v>271</v>
      </c>
      <c r="C218" s="49" t="s">
        <v>261</v>
      </c>
      <c r="D218" s="94">
        <v>2.2172999999999998</v>
      </c>
    </row>
    <row r="219" spans="1:4">
      <c r="A219" s="48">
        <v>9700</v>
      </c>
      <c r="B219" s="49" t="s">
        <v>272</v>
      </c>
      <c r="C219" s="49" t="s">
        <v>261</v>
      </c>
      <c r="D219" s="94">
        <v>2.2172999999999998</v>
      </c>
    </row>
    <row r="220" spans="1:4">
      <c r="A220" s="48">
        <v>9700</v>
      </c>
      <c r="B220" s="49" t="s">
        <v>273</v>
      </c>
      <c r="C220" s="49" t="s">
        <v>261</v>
      </c>
      <c r="D220" s="94">
        <v>2.2172999999999998</v>
      </c>
    </row>
    <row r="221" spans="1:4">
      <c r="A221" s="48">
        <v>9700</v>
      </c>
      <c r="B221" s="49" t="s">
        <v>274</v>
      </c>
      <c r="C221" s="49" t="s">
        <v>261</v>
      </c>
      <c r="D221" s="94">
        <v>2.2172999999999998</v>
      </c>
    </row>
    <row r="222" spans="1:4">
      <c r="A222" s="48">
        <v>9600</v>
      </c>
      <c r="B222" s="49" t="s">
        <v>275</v>
      </c>
      <c r="C222" s="49" t="s">
        <v>275</v>
      </c>
      <c r="D222" s="94">
        <v>2.2172999999999998</v>
      </c>
    </row>
    <row r="223" spans="1:4">
      <c r="A223" s="48">
        <v>8755</v>
      </c>
      <c r="B223" s="49" t="s">
        <v>276</v>
      </c>
      <c r="C223" s="49" t="s">
        <v>276</v>
      </c>
      <c r="D223" s="94">
        <v>2.2172999999999998</v>
      </c>
    </row>
    <row r="224" spans="1:4">
      <c r="A224" s="48">
        <v>9520</v>
      </c>
      <c r="B224" s="49" t="s">
        <v>277</v>
      </c>
      <c r="C224" s="49" t="s">
        <v>278</v>
      </c>
      <c r="D224" s="94">
        <v>2.2172999999999998</v>
      </c>
    </row>
    <row r="225" spans="1:4">
      <c r="A225" s="48">
        <v>9521</v>
      </c>
      <c r="B225" s="49" t="s">
        <v>279</v>
      </c>
      <c r="C225" s="49" t="s">
        <v>278</v>
      </c>
      <c r="D225" s="94">
        <v>2.2172999999999998</v>
      </c>
    </row>
    <row r="226" spans="1:4">
      <c r="A226" s="48">
        <v>9520</v>
      </c>
      <c r="B226" s="49" t="s">
        <v>278</v>
      </c>
      <c r="C226" s="49" t="s">
        <v>278</v>
      </c>
      <c r="D226" s="94">
        <v>2.2172999999999998</v>
      </c>
    </row>
    <row r="227" spans="1:4">
      <c r="A227" s="48">
        <v>9520</v>
      </c>
      <c r="B227" s="49" t="s">
        <v>280</v>
      </c>
      <c r="C227" s="49" t="s">
        <v>278</v>
      </c>
      <c r="D227" s="94">
        <v>2.2172999999999998</v>
      </c>
    </row>
    <row r="228" spans="1:4">
      <c r="A228" s="48">
        <v>9520</v>
      </c>
      <c r="B228" s="49" t="s">
        <v>281</v>
      </c>
      <c r="C228" s="49" t="s">
        <v>278</v>
      </c>
      <c r="D228" s="94">
        <v>2.2172999999999998</v>
      </c>
    </row>
    <row r="229" spans="1:4">
      <c r="A229" s="48">
        <v>9831</v>
      </c>
      <c r="B229" s="49" t="s">
        <v>282</v>
      </c>
      <c r="C229" s="49" t="s">
        <v>283</v>
      </c>
      <c r="D229" s="94">
        <v>2.2172999999999998</v>
      </c>
    </row>
    <row r="230" spans="1:4">
      <c r="A230" s="48">
        <v>9830</v>
      </c>
      <c r="B230" s="49" t="s">
        <v>283</v>
      </c>
      <c r="C230" s="49" t="s">
        <v>283</v>
      </c>
      <c r="D230" s="94">
        <v>2.2172999999999998</v>
      </c>
    </row>
    <row r="231" spans="1:4">
      <c r="A231" s="48">
        <v>1742</v>
      </c>
      <c r="B231" s="49" t="s">
        <v>284</v>
      </c>
      <c r="C231" s="49" t="s">
        <v>285</v>
      </c>
      <c r="D231" s="94">
        <v>2.2172999999999998</v>
      </c>
    </row>
    <row r="232" spans="1:4">
      <c r="A232" s="48">
        <v>1741</v>
      </c>
      <c r="B232" s="49" t="s">
        <v>286</v>
      </c>
      <c r="C232" s="49" t="s">
        <v>285</v>
      </c>
      <c r="D232" s="94">
        <v>2.2172999999999998</v>
      </c>
    </row>
    <row r="233" spans="1:4">
      <c r="A233" s="48">
        <v>1740</v>
      </c>
      <c r="B233" s="49" t="s">
        <v>285</v>
      </c>
      <c r="C233" s="49" t="s">
        <v>285</v>
      </c>
      <c r="D233" s="94">
        <v>2.2172999999999998</v>
      </c>
    </row>
    <row r="234" spans="1:4">
      <c r="A234" s="48">
        <v>1780</v>
      </c>
      <c r="B234" s="49" t="s">
        <v>370</v>
      </c>
      <c r="C234" s="49" t="s">
        <v>370</v>
      </c>
      <c r="D234" s="94">
        <v>2.2172999999999998</v>
      </c>
    </row>
    <row r="235" spans="1:4">
      <c r="A235" s="48">
        <v>9230</v>
      </c>
      <c r="B235" s="49" t="s">
        <v>287</v>
      </c>
      <c r="C235" s="49" t="s">
        <v>288</v>
      </c>
      <c r="D235" s="94">
        <v>2.2172999999999998</v>
      </c>
    </row>
    <row r="236" spans="1:4">
      <c r="A236" s="48">
        <v>9230</v>
      </c>
      <c r="B236" s="49" t="s">
        <v>289</v>
      </c>
      <c r="C236" s="49" t="s">
        <v>288</v>
      </c>
      <c r="D236" s="94">
        <v>2.2172999999999998</v>
      </c>
    </row>
    <row r="237" spans="1:4">
      <c r="A237" s="48">
        <v>9230</v>
      </c>
      <c r="B237" s="49" t="s">
        <v>288</v>
      </c>
      <c r="C237" s="49" t="s">
        <v>288</v>
      </c>
      <c r="D237" s="94">
        <v>2.2172999999999998</v>
      </c>
    </row>
    <row r="238" spans="1:4">
      <c r="A238" s="48">
        <v>9260</v>
      </c>
      <c r="B238" s="49" t="s">
        <v>290</v>
      </c>
      <c r="C238" s="49" t="s">
        <v>291</v>
      </c>
      <c r="D238" s="94">
        <v>2.2172999999999998</v>
      </c>
    </row>
    <row r="239" spans="1:4">
      <c r="A239" s="48">
        <v>9260</v>
      </c>
      <c r="B239" s="49" t="s">
        <v>292</v>
      </c>
      <c r="C239" s="49" t="s">
        <v>291</v>
      </c>
      <c r="D239" s="94">
        <v>2.2172999999999998</v>
      </c>
    </row>
    <row r="240" spans="1:4">
      <c r="A240" s="48">
        <v>9260</v>
      </c>
      <c r="B240" s="49" t="s">
        <v>291</v>
      </c>
      <c r="C240" s="49" t="s">
        <v>291</v>
      </c>
      <c r="D240" s="94">
        <v>2.2172999999999998</v>
      </c>
    </row>
    <row r="241" spans="1:4">
      <c r="A241" s="48">
        <v>9790</v>
      </c>
      <c r="B241" s="49" t="s">
        <v>293</v>
      </c>
      <c r="C241" s="49" t="s">
        <v>294</v>
      </c>
      <c r="D241" s="94">
        <v>2.2172999999999998</v>
      </c>
    </row>
    <row r="242" spans="1:4">
      <c r="A242" s="48">
        <v>9790</v>
      </c>
      <c r="B242" s="49" t="s">
        <v>295</v>
      </c>
      <c r="C242" s="49" t="s">
        <v>294</v>
      </c>
      <c r="D242" s="94">
        <v>2.2172999999999998</v>
      </c>
    </row>
    <row r="243" spans="1:4">
      <c r="A243" s="48">
        <v>9790</v>
      </c>
      <c r="B243" s="49" t="s">
        <v>271</v>
      </c>
      <c r="C243" s="49" t="s">
        <v>294</v>
      </c>
      <c r="D243" s="94">
        <v>2.2172999999999998</v>
      </c>
    </row>
    <row r="244" spans="1:4">
      <c r="A244" s="48">
        <v>9790</v>
      </c>
      <c r="B244" s="49" t="s">
        <v>296</v>
      </c>
      <c r="C244" s="49" t="s">
        <v>294</v>
      </c>
      <c r="D244" s="94">
        <v>2.2172999999999998</v>
      </c>
    </row>
    <row r="245" spans="1:4">
      <c r="A245" s="48">
        <v>9790</v>
      </c>
      <c r="B245" s="49" t="s">
        <v>297</v>
      </c>
      <c r="C245" s="49" t="s">
        <v>294</v>
      </c>
      <c r="D245" s="94">
        <v>2.2172999999999998</v>
      </c>
    </row>
    <row r="246" spans="1:4">
      <c r="A246" s="48">
        <v>1930</v>
      </c>
      <c r="B246" s="49" t="s">
        <v>371</v>
      </c>
      <c r="C246" s="49" t="s">
        <v>371</v>
      </c>
      <c r="D246" s="94">
        <v>2.2172999999999998</v>
      </c>
    </row>
    <row r="247" spans="1:4">
      <c r="A247" s="48">
        <v>1932</v>
      </c>
      <c r="B247" s="49" t="s">
        <v>372</v>
      </c>
      <c r="C247" s="49" t="s">
        <v>371</v>
      </c>
      <c r="D247" s="94">
        <v>2.2172999999999998</v>
      </c>
    </row>
    <row r="248" spans="1:4">
      <c r="A248" s="48">
        <v>1933</v>
      </c>
      <c r="B248" s="49" t="s">
        <v>373</v>
      </c>
      <c r="C248" s="49" t="s">
        <v>371</v>
      </c>
      <c r="D248" s="94">
        <v>2.2172999999999998</v>
      </c>
    </row>
    <row r="249" spans="1:4">
      <c r="A249" s="48">
        <v>9060</v>
      </c>
      <c r="B249" s="49" t="s">
        <v>298</v>
      </c>
      <c r="C249" s="49" t="s">
        <v>298</v>
      </c>
      <c r="D249" s="94">
        <v>2.2172999999999998</v>
      </c>
    </row>
    <row r="250" spans="1:4">
      <c r="A250" s="48">
        <v>9750</v>
      </c>
      <c r="B250" s="49" t="s">
        <v>299</v>
      </c>
      <c r="C250" s="49" t="s">
        <v>300</v>
      </c>
      <c r="D250" s="94">
        <v>2.2172999999999998</v>
      </c>
    </row>
    <row r="251" spans="1:4">
      <c r="A251" s="48">
        <v>9750</v>
      </c>
      <c r="B251" s="49" t="s">
        <v>301</v>
      </c>
      <c r="C251" s="49" t="s">
        <v>300</v>
      </c>
      <c r="D251" s="94">
        <v>2.2172999999999998</v>
      </c>
    </row>
    <row r="252" spans="1:4">
      <c r="A252" s="48">
        <v>9750</v>
      </c>
      <c r="B252" s="49" t="s">
        <v>300</v>
      </c>
      <c r="C252" s="49" t="s">
        <v>300</v>
      </c>
      <c r="D252" s="94">
        <v>2.2172999999999998</v>
      </c>
    </row>
    <row r="253" spans="1:4">
      <c r="A253" s="48">
        <v>9931</v>
      </c>
      <c r="B253" s="49" t="s">
        <v>302</v>
      </c>
      <c r="C253" s="49" t="s">
        <v>303</v>
      </c>
      <c r="D253" s="94">
        <v>2.2172999999999998</v>
      </c>
    </row>
    <row r="254" spans="1:4">
      <c r="A254" s="48">
        <v>9932</v>
      </c>
      <c r="B254" s="49" t="s">
        <v>304</v>
      </c>
      <c r="C254" s="49" t="s">
        <v>303</v>
      </c>
      <c r="D254" s="94">
        <v>2.2172999999999998</v>
      </c>
    </row>
    <row r="255" spans="1:4">
      <c r="A255" s="48">
        <v>9930</v>
      </c>
      <c r="B255" s="49" t="s">
        <v>303</v>
      </c>
      <c r="C255" s="49" t="s">
        <v>303</v>
      </c>
      <c r="D255" s="94">
        <v>2.2172999999999998</v>
      </c>
    </row>
    <row r="256" spans="1:4">
      <c r="A256" s="48">
        <v>9620</v>
      </c>
      <c r="B256" s="49" t="s">
        <v>305</v>
      </c>
      <c r="C256" s="49" t="s">
        <v>306</v>
      </c>
      <c r="D256" s="94">
        <v>2.2172999999999998</v>
      </c>
    </row>
    <row r="257" spans="1:4">
      <c r="A257" s="48">
        <v>9620</v>
      </c>
      <c r="B257" s="49" t="s">
        <v>307</v>
      </c>
      <c r="C257" s="49" t="s">
        <v>306</v>
      </c>
      <c r="D257" s="94">
        <v>2.2172999999999998</v>
      </c>
    </row>
    <row r="258" spans="1:4">
      <c r="A258" s="48">
        <v>9620</v>
      </c>
      <c r="B258" s="49" t="s">
        <v>308</v>
      </c>
      <c r="C258" s="49" t="s">
        <v>306</v>
      </c>
      <c r="D258" s="94">
        <v>2.2172999999999998</v>
      </c>
    </row>
    <row r="259" spans="1:4">
      <c r="A259" s="48">
        <v>9620</v>
      </c>
      <c r="B259" s="49" t="s">
        <v>309</v>
      </c>
      <c r="C259" s="49" t="s">
        <v>306</v>
      </c>
      <c r="D259" s="94">
        <v>2.2172999999999998</v>
      </c>
    </row>
    <row r="260" spans="1:4">
      <c r="A260" s="48">
        <v>9620</v>
      </c>
      <c r="B260" s="49" t="s">
        <v>310</v>
      </c>
      <c r="C260" s="49" t="s">
        <v>306</v>
      </c>
      <c r="D260" s="94">
        <v>2.2172999999999998</v>
      </c>
    </row>
    <row r="261" spans="1:4">
      <c r="A261" s="48">
        <v>9620</v>
      </c>
      <c r="B261" s="49" t="s">
        <v>311</v>
      </c>
      <c r="C261" s="49" t="s">
        <v>306</v>
      </c>
      <c r="D261" s="94">
        <v>2.2172999999999998</v>
      </c>
    </row>
    <row r="262" spans="1:4">
      <c r="A262" s="48">
        <v>9620</v>
      </c>
      <c r="B262" s="49" t="s">
        <v>312</v>
      </c>
      <c r="C262" s="49" t="s">
        <v>306</v>
      </c>
      <c r="D262" s="94">
        <v>2.2172999999999998</v>
      </c>
    </row>
    <row r="263" spans="1:4">
      <c r="A263" s="48">
        <v>9620</v>
      </c>
      <c r="B263" s="49" t="s">
        <v>87</v>
      </c>
      <c r="C263" s="49" t="s">
        <v>306</v>
      </c>
      <c r="D263" s="94">
        <v>2.2172999999999998</v>
      </c>
    </row>
    <row r="264" spans="1:4">
      <c r="A264" s="48">
        <v>9620</v>
      </c>
      <c r="B264" s="49" t="s">
        <v>313</v>
      </c>
      <c r="C264" s="49" t="s">
        <v>306</v>
      </c>
      <c r="D264" s="94">
        <v>2.2172999999999998</v>
      </c>
    </row>
    <row r="265" spans="1:4">
      <c r="A265" s="48">
        <v>9620</v>
      </c>
      <c r="B265" s="49" t="s">
        <v>314</v>
      </c>
      <c r="C265" s="49" t="s">
        <v>306</v>
      </c>
      <c r="D265" s="94">
        <v>2.2172999999999998</v>
      </c>
    </row>
    <row r="266" spans="1:4">
      <c r="A266" s="48">
        <v>9620</v>
      </c>
      <c r="B266" s="49" t="s">
        <v>306</v>
      </c>
      <c r="C266" s="49" t="s">
        <v>306</v>
      </c>
      <c r="D266" s="94">
        <v>2.2172999999999998</v>
      </c>
    </row>
    <row r="267" spans="1:4">
      <c r="A267" s="48">
        <v>8377</v>
      </c>
      <c r="B267" s="49" t="s">
        <v>315</v>
      </c>
      <c r="C267" s="49" t="s">
        <v>316</v>
      </c>
      <c r="D267" s="94">
        <v>2.2172999999999998</v>
      </c>
    </row>
    <row r="268" spans="1:4">
      <c r="A268" s="48">
        <v>8377</v>
      </c>
      <c r="B268" s="49" t="s">
        <v>317</v>
      </c>
      <c r="C268" s="49" t="s">
        <v>316</v>
      </c>
      <c r="D268" s="94">
        <v>2.2172999999999998</v>
      </c>
    </row>
    <row r="269" spans="1:4">
      <c r="A269" s="48">
        <v>8377</v>
      </c>
      <c r="B269" s="49" t="s">
        <v>318</v>
      </c>
      <c r="C269" s="49" t="s">
        <v>316</v>
      </c>
      <c r="D269" s="94">
        <v>2.2172999999999998</v>
      </c>
    </row>
    <row r="270" spans="1:4">
      <c r="A270" s="48">
        <v>8377</v>
      </c>
      <c r="B270" s="49" t="s">
        <v>316</v>
      </c>
      <c r="C270" s="49" t="s">
        <v>316</v>
      </c>
      <c r="D270" s="94">
        <v>2.2172999999999998</v>
      </c>
    </row>
    <row r="271" spans="1:4">
      <c r="A271" s="48">
        <v>9870</v>
      </c>
      <c r="B271" s="49" t="s">
        <v>217</v>
      </c>
      <c r="C271" s="49" t="s">
        <v>319</v>
      </c>
      <c r="D271" s="94">
        <v>2.2172999999999998</v>
      </c>
    </row>
    <row r="272" spans="1:4">
      <c r="A272" s="48">
        <v>9870</v>
      </c>
      <c r="B272" s="49" t="s">
        <v>320</v>
      </c>
      <c r="C272" s="49" t="s">
        <v>319</v>
      </c>
      <c r="D272" s="94">
        <v>2.2172999999999998</v>
      </c>
    </row>
    <row r="273" spans="1:4">
      <c r="A273" s="48">
        <v>9870</v>
      </c>
      <c r="B273" s="49" t="s">
        <v>319</v>
      </c>
      <c r="C273" s="49" t="s">
        <v>319</v>
      </c>
      <c r="D273" s="94">
        <v>2.2172999999999998</v>
      </c>
    </row>
    <row r="274" spans="1:4">
      <c r="A274" s="48">
        <v>9630</v>
      </c>
      <c r="B274" s="49" t="s">
        <v>321</v>
      </c>
      <c r="C274" s="49" t="s">
        <v>322</v>
      </c>
      <c r="D274" s="94">
        <v>2.2172999999999998</v>
      </c>
    </row>
    <row r="275" spans="1:4">
      <c r="A275" s="48">
        <v>9630</v>
      </c>
      <c r="B275" s="49" t="s">
        <v>323</v>
      </c>
      <c r="C275" s="49" t="s">
        <v>322</v>
      </c>
      <c r="D275" s="94">
        <v>2.2172999999999998</v>
      </c>
    </row>
    <row r="276" spans="1:4">
      <c r="A276" s="48">
        <v>9630</v>
      </c>
      <c r="B276" s="49" t="s">
        <v>324</v>
      </c>
      <c r="C276" s="49" t="s">
        <v>322</v>
      </c>
      <c r="D276" s="94">
        <v>2.2172999999999998</v>
      </c>
    </row>
    <row r="277" spans="1:4">
      <c r="A277" s="48">
        <v>9630</v>
      </c>
      <c r="B277" s="49" t="s">
        <v>325</v>
      </c>
      <c r="C277" s="49" t="s">
        <v>322</v>
      </c>
      <c r="D277" s="94">
        <v>2.2172999999999998</v>
      </c>
    </row>
    <row r="278" spans="1:4">
      <c r="A278" s="48">
        <v>9630</v>
      </c>
      <c r="B278" s="49" t="s">
        <v>326</v>
      </c>
      <c r="C278" s="49" t="s">
        <v>322</v>
      </c>
      <c r="D278" s="94">
        <v>2.2172999999999998</v>
      </c>
    </row>
    <row r="279" spans="1:4">
      <c r="A279" s="48">
        <v>9636</v>
      </c>
      <c r="B279" s="49" t="s">
        <v>327</v>
      </c>
      <c r="C279" s="49" t="s">
        <v>322</v>
      </c>
      <c r="D279" s="94">
        <v>2.2172999999999998</v>
      </c>
    </row>
    <row r="280" spans="1:4">
      <c r="A280" s="48">
        <v>9630</v>
      </c>
      <c r="B280" s="49" t="s">
        <v>328</v>
      </c>
      <c r="C280" s="49" t="s">
        <v>322</v>
      </c>
      <c r="D280" s="94">
        <v>2.2172999999999998</v>
      </c>
    </row>
    <row r="281" spans="1:4">
      <c r="A281" s="48">
        <v>9630</v>
      </c>
      <c r="B281" s="49" t="s">
        <v>329</v>
      </c>
      <c r="C281" s="49" t="s">
        <v>322</v>
      </c>
      <c r="D281" s="94">
        <v>2.2172999999999998</v>
      </c>
    </row>
    <row r="282" spans="1:4">
      <c r="A282" s="48">
        <v>9630</v>
      </c>
      <c r="B282" s="49" t="s">
        <v>330</v>
      </c>
      <c r="C282" s="49" t="s">
        <v>322</v>
      </c>
      <c r="D282" s="94">
        <v>2.2172999999999998</v>
      </c>
    </row>
    <row r="283" spans="1:4">
      <c r="A283" s="48">
        <v>9630</v>
      </c>
      <c r="B283" s="49" t="s">
        <v>331</v>
      </c>
      <c r="C283" s="49" t="s">
        <v>322</v>
      </c>
      <c r="D283" s="94">
        <v>2.2172999999999998</v>
      </c>
    </row>
    <row r="284" spans="1:4">
      <c r="A284" s="48">
        <v>9630</v>
      </c>
      <c r="B284" s="49" t="s">
        <v>332</v>
      </c>
      <c r="C284" s="49" t="s">
        <v>322</v>
      </c>
      <c r="D284" s="94">
        <v>2.2172999999999998</v>
      </c>
    </row>
    <row r="285" spans="1:4">
      <c r="A285" s="52">
        <v>9630</v>
      </c>
      <c r="B285" s="53" t="s">
        <v>333</v>
      </c>
      <c r="C285" s="53" t="s">
        <v>322</v>
      </c>
      <c r="D285" s="94">
        <v>2.2172999999999998</v>
      </c>
    </row>
  </sheetData>
  <sheetProtection algorithmName="SHA-512" hashValue="kD4+tpXxlbunA4QiDh3aGsn08UGQLvVYvDPUITdxSj5Qs8FucbgXP1ovzb9bIuhIzGiG1CXpmDk5qgR7N7PMrA==" saltValue="4gzSpNfZu6t/sTf3QZLu/w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/>
  <dimension ref="A1:E285"/>
  <sheetViews>
    <sheetView topLeftCell="A248" workbookViewId="0">
      <selection activeCell="B17" sqref="B17"/>
    </sheetView>
  </sheetViews>
  <sheetFormatPr defaultColWidth="9.140625" defaultRowHeight="15"/>
  <cols>
    <col min="2" max="2" width="16.85546875" customWidth="1"/>
    <col min="3" max="3" width="19" customWidth="1"/>
    <col min="4" max="4" width="12" style="97" customWidth="1"/>
    <col min="5" max="5" width="14.42578125" style="59" customWidth="1"/>
  </cols>
  <sheetData>
    <row r="1" spans="1:5" ht="29.25" customHeight="1">
      <c r="A1" s="45" t="s">
        <v>42</v>
      </c>
      <c r="B1" s="46" t="s">
        <v>43</v>
      </c>
      <c r="C1" s="46" t="s">
        <v>44</v>
      </c>
      <c r="D1" s="46" t="s">
        <v>45</v>
      </c>
      <c r="E1" s="47" t="s">
        <v>46</v>
      </c>
    </row>
    <row r="2" spans="1:5" ht="15.75">
      <c r="A2" s="48">
        <v>9300</v>
      </c>
      <c r="B2" s="49" t="s">
        <v>47</v>
      </c>
      <c r="C2" s="49" t="s">
        <v>47</v>
      </c>
      <c r="D2" s="139">
        <v>1.9572000000000001</v>
      </c>
      <c r="E2" s="139">
        <v>3.9144000000000001</v>
      </c>
    </row>
    <row r="3" spans="1:5" ht="15.75">
      <c r="A3" s="48">
        <v>9310</v>
      </c>
      <c r="B3" s="49" t="s">
        <v>48</v>
      </c>
      <c r="C3" s="49" t="s">
        <v>47</v>
      </c>
      <c r="D3" s="139">
        <v>1.9572000000000001</v>
      </c>
      <c r="E3" s="139">
        <v>3.9144000000000001</v>
      </c>
    </row>
    <row r="4" spans="1:5" ht="15.75">
      <c r="A4" s="48">
        <v>9320</v>
      </c>
      <c r="B4" s="49" t="s">
        <v>49</v>
      </c>
      <c r="C4" s="49" t="s">
        <v>47</v>
      </c>
      <c r="D4" s="139">
        <v>1.9572000000000001</v>
      </c>
      <c r="E4" s="139">
        <v>3.9144000000000001</v>
      </c>
    </row>
    <row r="5" spans="1:5" ht="15.75">
      <c r="A5" s="48">
        <v>9308</v>
      </c>
      <c r="B5" s="49" t="s">
        <v>50</v>
      </c>
      <c r="C5" s="49" t="s">
        <v>47</v>
      </c>
      <c r="D5" s="139">
        <v>1.9572000000000001</v>
      </c>
      <c r="E5" s="139">
        <v>3.9144000000000001</v>
      </c>
    </row>
    <row r="6" spans="1:5" ht="15.75">
      <c r="A6" s="48">
        <v>9310</v>
      </c>
      <c r="B6" s="49" t="s">
        <v>51</v>
      </c>
      <c r="C6" s="49" t="s">
        <v>47</v>
      </c>
      <c r="D6" s="139">
        <v>1.9572000000000001</v>
      </c>
      <c r="E6" s="139">
        <v>3.9144000000000001</v>
      </c>
    </row>
    <row r="7" spans="1:5" ht="15.75">
      <c r="A7" s="48">
        <v>9308</v>
      </c>
      <c r="B7" s="49" t="s">
        <v>52</v>
      </c>
      <c r="C7" s="49" t="s">
        <v>47</v>
      </c>
      <c r="D7" s="139">
        <v>1.9572000000000001</v>
      </c>
      <c r="E7" s="139">
        <v>3.9144000000000001</v>
      </c>
    </row>
    <row r="8" spans="1:5" ht="15.75">
      <c r="A8" s="48">
        <v>9310</v>
      </c>
      <c r="B8" s="49" t="s">
        <v>53</v>
      </c>
      <c r="C8" s="49" t="s">
        <v>47</v>
      </c>
      <c r="D8" s="139">
        <v>1.9572000000000001</v>
      </c>
      <c r="E8" s="139">
        <v>3.9144000000000001</v>
      </c>
    </row>
    <row r="9" spans="1:5" ht="15.75">
      <c r="A9" s="48">
        <v>9310</v>
      </c>
      <c r="B9" s="49" t="s">
        <v>54</v>
      </c>
      <c r="C9" s="49" t="s">
        <v>47</v>
      </c>
      <c r="D9" s="139">
        <v>1.9572000000000001</v>
      </c>
      <c r="E9" s="139">
        <v>3.9144000000000001</v>
      </c>
    </row>
    <row r="10" spans="1:5" ht="15.75">
      <c r="A10" s="48">
        <v>9320</v>
      </c>
      <c r="B10" s="49" t="s">
        <v>55</v>
      </c>
      <c r="C10" s="49" t="s">
        <v>47</v>
      </c>
      <c r="D10" s="139">
        <v>1.9572000000000001</v>
      </c>
      <c r="E10" s="139">
        <v>3.9144000000000001</v>
      </c>
    </row>
    <row r="11" spans="1:5" ht="15.75">
      <c r="A11" s="48">
        <v>9880</v>
      </c>
      <c r="B11" s="49" t="s">
        <v>56</v>
      </c>
      <c r="C11" s="49" t="s">
        <v>56</v>
      </c>
      <c r="D11" s="139">
        <v>1.9572000000000001</v>
      </c>
      <c r="E11" s="139">
        <v>3.9144000000000001</v>
      </c>
    </row>
    <row r="12" spans="1:5" ht="15.75">
      <c r="A12" s="48">
        <v>9881</v>
      </c>
      <c r="B12" s="49" t="s">
        <v>57</v>
      </c>
      <c r="C12" s="49" t="s">
        <v>56</v>
      </c>
      <c r="D12" s="139">
        <v>1.9572000000000001</v>
      </c>
      <c r="E12" s="139">
        <v>3.9144000000000001</v>
      </c>
    </row>
    <row r="13" spans="1:5" ht="15.75">
      <c r="A13" s="48">
        <v>9880</v>
      </c>
      <c r="B13" s="49" t="s">
        <v>58</v>
      </c>
      <c r="C13" s="49" t="s">
        <v>56</v>
      </c>
      <c r="D13" s="139">
        <v>1.9572000000000001</v>
      </c>
      <c r="E13" s="139">
        <v>3.9144000000000001</v>
      </c>
    </row>
    <row r="14" spans="1:5" ht="15.75">
      <c r="A14" s="48">
        <v>9880</v>
      </c>
      <c r="B14" s="49" t="s">
        <v>59</v>
      </c>
      <c r="C14" s="49" t="s">
        <v>56</v>
      </c>
      <c r="D14" s="139">
        <v>1.9572000000000001</v>
      </c>
      <c r="E14" s="139">
        <v>3.9144000000000001</v>
      </c>
    </row>
    <row r="15" spans="1:5" ht="15.75">
      <c r="A15" s="48">
        <v>1790</v>
      </c>
      <c r="B15" s="49" t="s">
        <v>60</v>
      </c>
      <c r="C15" s="49" t="s">
        <v>61</v>
      </c>
      <c r="D15" s="139">
        <v>1.9572000000000001</v>
      </c>
      <c r="E15" s="139">
        <v>3.9144000000000001</v>
      </c>
    </row>
    <row r="16" spans="1:5" ht="15.75">
      <c r="A16" s="48">
        <v>1790</v>
      </c>
      <c r="B16" s="49" t="s">
        <v>62</v>
      </c>
      <c r="C16" s="49" t="s">
        <v>61</v>
      </c>
      <c r="D16" s="139">
        <v>1.9572000000000001</v>
      </c>
      <c r="E16" s="139">
        <v>3.9144000000000001</v>
      </c>
    </row>
    <row r="17" spans="1:5" ht="15.75">
      <c r="A17" s="48">
        <v>1790</v>
      </c>
      <c r="B17" s="49" t="s">
        <v>63</v>
      </c>
      <c r="C17" s="49" t="s">
        <v>61</v>
      </c>
      <c r="D17" s="139">
        <v>1.9572000000000001</v>
      </c>
      <c r="E17" s="139">
        <v>3.9144000000000001</v>
      </c>
    </row>
    <row r="18" spans="1:5" ht="15.75">
      <c r="A18" s="48">
        <v>1730</v>
      </c>
      <c r="B18" s="49" t="s">
        <v>64</v>
      </c>
      <c r="C18" s="49" t="s">
        <v>64</v>
      </c>
      <c r="D18" s="139">
        <v>1.9572000000000001</v>
      </c>
      <c r="E18" s="139">
        <v>3.9144000000000001</v>
      </c>
    </row>
    <row r="19" spans="1:5" ht="15.75">
      <c r="A19" s="48">
        <v>1730</v>
      </c>
      <c r="B19" s="49" t="s">
        <v>65</v>
      </c>
      <c r="C19" s="49" t="s">
        <v>64</v>
      </c>
      <c r="D19" s="139">
        <v>1.9572000000000001</v>
      </c>
      <c r="E19" s="139">
        <v>3.9144000000000001</v>
      </c>
    </row>
    <row r="20" spans="1:5" ht="15.75">
      <c r="A20" s="48">
        <v>1730</v>
      </c>
      <c r="B20" s="49" t="s">
        <v>66</v>
      </c>
      <c r="C20" s="49" t="s">
        <v>64</v>
      </c>
      <c r="D20" s="139">
        <v>1.9572000000000001</v>
      </c>
      <c r="E20" s="139">
        <v>3.9144000000000001</v>
      </c>
    </row>
    <row r="21" spans="1:5" ht="15.75">
      <c r="A21" s="48">
        <v>1730</v>
      </c>
      <c r="B21" s="49" t="s">
        <v>67</v>
      </c>
      <c r="C21" s="49" t="s">
        <v>64</v>
      </c>
      <c r="D21" s="139">
        <v>1.9572000000000001</v>
      </c>
      <c r="E21" s="139">
        <v>3.9144000000000001</v>
      </c>
    </row>
    <row r="22" spans="1:5" ht="15.75">
      <c r="A22" s="48">
        <v>1731</v>
      </c>
      <c r="B22" s="49" t="s">
        <v>68</v>
      </c>
      <c r="C22" s="49" t="s">
        <v>64</v>
      </c>
      <c r="D22" s="139">
        <v>1.9572000000000001</v>
      </c>
      <c r="E22" s="139">
        <v>3.9144000000000001</v>
      </c>
    </row>
    <row r="23" spans="1:5" ht="15.75">
      <c r="A23" s="48">
        <v>1731</v>
      </c>
      <c r="B23" s="49" t="s">
        <v>69</v>
      </c>
      <c r="C23" s="49" t="s">
        <v>64</v>
      </c>
      <c r="D23" s="139">
        <v>1.9572000000000001</v>
      </c>
      <c r="E23" s="139">
        <v>3.9144000000000001</v>
      </c>
    </row>
    <row r="24" spans="1:5" ht="15.75">
      <c r="A24" s="48">
        <v>8730</v>
      </c>
      <c r="B24" s="49" t="s">
        <v>70</v>
      </c>
      <c r="C24" s="49" t="s">
        <v>70</v>
      </c>
      <c r="D24" s="139">
        <v>1.9572000000000001</v>
      </c>
      <c r="E24" s="139">
        <v>3.9144000000000001</v>
      </c>
    </row>
    <row r="25" spans="1:5" ht="15.75">
      <c r="A25" s="48">
        <v>8730</v>
      </c>
      <c r="B25" s="49" t="s">
        <v>71</v>
      </c>
      <c r="C25" s="49" t="s">
        <v>70</v>
      </c>
      <c r="D25" s="139">
        <v>1.9572000000000001</v>
      </c>
      <c r="E25" s="139">
        <v>3.9144000000000001</v>
      </c>
    </row>
    <row r="26" spans="1:5" ht="15.75">
      <c r="A26" s="48">
        <v>8730</v>
      </c>
      <c r="B26" s="49" t="s">
        <v>72</v>
      </c>
      <c r="C26" s="49" t="s">
        <v>70</v>
      </c>
      <c r="D26" s="139">
        <v>1.9572000000000001</v>
      </c>
      <c r="E26" s="139">
        <v>3.9144000000000001</v>
      </c>
    </row>
    <row r="27" spans="1:5" ht="15.75">
      <c r="A27" s="48">
        <v>1652</v>
      </c>
      <c r="B27" s="49" t="s">
        <v>74</v>
      </c>
      <c r="C27" s="49" t="s">
        <v>73</v>
      </c>
      <c r="D27" s="139">
        <v>1.9572000000000001</v>
      </c>
      <c r="E27" s="139">
        <v>3.9144000000000001</v>
      </c>
    </row>
    <row r="28" spans="1:5" ht="15.75">
      <c r="A28" s="48">
        <v>1650</v>
      </c>
      <c r="B28" s="49" t="s">
        <v>73</v>
      </c>
      <c r="C28" s="49" t="s">
        <v>73</v>
      </c>
      <c r="D28" s="139">
        <v>1.9572000000000001</v>
      </c>
      <c r="E28" s="139">
        <v>3.9144000000000001</v>
      </c>
    </row>
    <row r="29" spans="1:5" ht="15.75">
      <c r="A29" s="48">
        <v>1653</v>
      </c>
      <c r="B29" s="49" t="s">
        <v>75</v>
      </c>
      <c r="C29" s="49" t="s">
        <v>73</v>
      </c>
      <c r="D29" s="139">
        <v>1.9572000000000001</v>
      </c>
      <c r="E29" s="139">
        <v>3.9144000000000001</v>
      </c>
    </row>
    <row r="30" spans="1:5" ht="15.75">
      <c r="A30" s="48">
        <v>1654</v>
      </c>
      <c r="B30" s="49" t="s">
        <v>76</v>
      </c>
      <c r="C30" s="49" t="s">
        <v>73</v>
      </c>
      <c r="D30" s="139">
        <v>1.9572000000000001</v>
      </c>
      <c r="E30" s="139">
        <v>3.9144000000000001</v>
      </c>
    </row>
    <row r="31" spans="1:5" ht="15.75">
      <c r="A31" s="48">
        <v>1651</v>
      </c>
      <c r="B31" s="49" t="s">
        <v>77</v>
      </c>
      <c r="C31" s="49" t="s">
        <v>73</v>
      </c>
      <c r="D31" s="139">
        <v>1.9572000000000001</v>
      </c>
      <c r="E31" s="139">
        <v>3.9144000000000001</v>
      </c>
    </row>
    <row r="32" spans="1:5" ht="15.75">
      <c r="A32" s="48">
        <v>8370</v>
      </c>
      <c r="B32" s="49" t="s">
        <v>78</v>
      </c>
      <c r="C32" s="49" t="s">
        <v>78</v>
      </c>
      <c r="D32" s="139">
        <v>1.9572000000000001</v>
      </c>
      <c r="E32" s="139">
        <v>3.9144000000000001</v>
      </c>
    </row>
    <row r="33" spans="1:5" ht="15.75">
      <c r="A33" s="48">
        <v>8370</v>
      </c>
      <c r="B33" s="49" t="s">
        <v>79</v>
      </c>
      <c r="C33" s="49" t="s">
        <v>78</v>
      </c>
      <c r="D33" s="139">
        <v>1.9572000000000001</v>
      </c>
      <c r="E33" s="139">
        <v>3.9144000000000001</v>
      </c>
    </row>
    <row r="34" spans="1:5" ht="15.75">
      <c r="A34" s="48">
        <v>9660</v>
      </c>
      <c r="B34" s="49" t="s">
        <v>80</v>
      </c>
      <c r="C34" s="49" t="s">
        <v>81</v>
      </c>
      <c r="D34" s="139">
        <v>1.9572000000000001</v>
      </c>
      <c r="E34" s="139">
        <v>3.9144000000000001</v>
      </c>
    </row>
    <row r="35" spans="1:5" ht="15.75">
      <c r="A35" s="48">
        <v>9660</v>
      </c>
      <c r="B35" s="49" t="s">
        <v>82</v>
      </c>
      <c r="C35" s="49" t="s">
        <v>81</v>
      </c>
      <c r="D35" s="139">
        <v>1.9572000000000001</v>
      </c>
      <c r="E35" s="139">
        <v>3.9144000000000001</v>
      </c>
    </row>
    <row r="36" spans="1:5" ht="15.75">
      <c r="A36" s="48">
        <v>9660</v>
      </c>
      <c r="B36" s="49" t="s">
        <v>83</v>
      </c>
      <c r="C36" s="49" t="s">
        <v>81</v>
      </c>
      <c r="D36" s="139">
        <v>1.9572000000000001</v>
      </c>
      <c r="E36" s="139">
        <v>3.9144000000000001</v>
      </c>
    </row>
    <row r="37" spans="1:5" ht="15.75">
      <c r="A37" s="48">
        <v>9660</v>
      </c>
      <c r="B37" s="49" t="s">
        <v>84</v>
      </c>
      <c r="C37" s="49" t="s">
        <v>81</v>
      </c>
      <c r="D37" s="139">
        <v>1.9572000000000001</v>
      </c>
      <c r="E37" s="139">
        <v>3.9144000000000001</v>
      </c>
    </row>
    <row r="38" spans="1:5" ht="15.75">
      <c r="A38" s="48">
        <v>9660</v>
      </c>
      <c r="B38" s="49" t="s">
        <v>85</v>
      </c>
      <c r="C38" s="49" t="s">
        <v>81</v>
      </c>
      <c r="D38" s="139">
        <v>1.9572000000000001</v>
      </c>
      <c r="E38" s="139">
        <v>3.9144000000000001</v>
      </c>
    </row>
    <row r="39" spans="1:5" ht="15.75">
      <c r="A39" s="48">
        <v>9661</v>
      </c>
      <c r="B39" s="49" t="s">
        <v>86</v>
      </c>
      <c r="C39" s="49" t="s">
        <v>81</v>
      </c>
      <c r="D39" s="139">
        <v>1.9572000000000001</v>
      </c>
      <c r="E39" s="139">
        <v>3.9144000000000001</v>
      </c>
    </row>
    <row r="40" spans="1:5" ht="15.75">
      <c r="A40" s="48">
        <v>9660</v>
      </c>
      <c r="B40" s="49" t="s">
        <v>87</v>
      </c>
      <c r="C40" s="49" t="s">
        <v>81</v>
      </c>
      <c r="D40" s="139">
        <v>1.9572000000000001</v>
      </c>
      <c r="E40" s="139">
        <v>3.9144000000000001</v>
      </c>
    </row>
    <row r="41" spans="1:5" ht="15.75">
      <c r="A41" s="48">
        <v>9660</v>
      </c>
      <c r="B41" s="49" t="s">
        <v>88</v>
      </c>
      <c r="C41" s="49" t="s">
        <v>81</v>
      </c>
      <c r="D41" s="139">
        <v>1.9572000000000001</v>
      </c>
      <c r="E41" s="139">
        <v>3.9144000000000001</v>
      </c>
    </row>
    <row r="42" spans="1:5" ht="15.75">
      <c r="A42" s="48">
        <v>8310</v>
      </c>
      <c r="B42" s="49" t="s">
        <v>89</v>
      </c>
      <c r="C42" s="49" t="s">
        <v>90</v>
      </c>
      <c r="D42" s="139">
        <v>1.9572000000000001</v>
      </c>
      <c r="E42" s="139">
        <v>3.9144000000000001</v>
      </c>
    </row>
    <row r="43" spans="1:5" ht="15.75">
      <c r="A43" s="48">
        <v>8000</v>
      </c>
      <c r="B43" s="49" t="s">
        <v>90</v>
      </c>
      <c r="C43" s="49" t="s">
        <v>90</v>
      </c>
      <c r="D43" s="139">
        <v>1.9572000000000001</v>
      </c>
      <c r="E43" s="139">
        <v>3.9144000000000001</v>
      </c>
    </row>
    <row r="44" spans="1:5" ht="15.75">
      <c r="A44" s="48">
        <v>8380</v>
      </c>
      <c r="B44" s="49" t="s">
        <v>91</v>
      </c>
      <c r="C44" s="49" t="s">
        <v>90</v>
      </c>
      <c r="D44" s="139">
        <v>1.9572000000000001</v>
      </c>
      <c r="E44" s="139">
        <v>3.9144000000000001</v>
      </c>
    </row>
    <row r="45" spans="1:5" ht="15.75">
      <c r="A45" s="48">
        <v>8000</v>
      </c>
      <c r="B45" s="49" t="s">
        <v>92</v>
      </c>
      <c r="C45" s="49" t="s">
        <v>90</v>
      </c>
      <c r="D45" s="139">
        <v>1.9572000000000001</v>
      </c>
      <c r="E45" s="139">
        <v>3.9144000000000001</v>
      </c>
    </row>
    <row r="46" spans="1:5" ht="15.75">
      <c r="A46" s="48">
        <v>8200</v>
      </c>
      <c r="B46" s="49" t="s">
        <v>93</v>
      </c>
      <c r="C46" s="49" t="s">
        <v>90</v>
      </c>
      <c r="D46" s="139">
        <v>1.9572000000000001</v>
      </c>
      <c r="E46" s="139">
        <v>3.9144000000000001</v>
      </c>
    </row>
    <row r="47" spans="1:5" ht="15.75">
      <c r="A47" s="48">
        <v>8310</v>
      </c>
      <c r="B47" s="49" t="s">
        <v>94</v>
      </c>
      <c r="C47" s="49" t="s">
        <v>90</v>
      </c>
      <c r="D47" s="139">
        <v>1.9572000000000001</v>
      </c>
      <c r="E47" s="139">
        <v>3.9144000000000001</v>
      </c>
    </row>
    <row r="48" spans="1:5" ht="15.75">
      <c r="A48" s="48">
        <v>8200</v>
      </c>
      <c r="B48" s="49" t="s">
        <v>95</v>
      </c>
      <c r="C48" s="49" t="s">
        <v>90</v>
      </c>
      <c r="D48" s="139">
        <v>1.9572000000000001</v>
      </c>
      <c r="E48" s="139">
        <v>3.9144000000000001</v>
      </c>
    </row>
    <row r="49" spans="1:5" ht="15.75">
      <c r="A49" s="48">
        <v>8000</v>
      </c>
      <c r="B49" s="49" t="s">
        <v>96</v>
      </c>
      <c r="C49" s="49" t="s">
        <v>90</v>
      </c>
      <c r="D49" s="139">
        <v>1.9572000000000001</v>
      </c>
      <c r="E49" s="139">
        <v>3.9144000000000001</v>
      </c>
    </row>
    <row r="50" spans="1:5" ht="15.75">
      <c r="A50" s="48">
        <v>8380</v>
      </c>
      <c r="B50" s="49" t="s">
        <v>97</v>
      </c>
      <c r="C50" s="49" t="s">
        <v>90</v>
      </c>
      <c r="D50" s="139">
        <v>1.9572000000000001</v>
      </c>
      <c r="E50" s="139">
        <v>3.9144000000000001</v>
      </c>
    </row>
    <row r="51" spans="1:5" ht="15.75">
      <c r="A51" s="48">
        <v>9255</v>
      </c>
      <c r="B51" s="49" t="s">
        <v>98</v>
      </c>
      <c r="C51" s="49" t="s">
        <v>98</v>
      </c>
      <c r="D51" s="139">
        <v>1.9572000000000001</v>
      </c>
      <c r="E51" s="139">
        <v>3.9144000000000001</v>
      </c>
    </row>
    <row r="52" spans="1:5" ht="15.75">
      <c r="A52" s="48">
        <v>9255</v>
      </c>
      <c r="B52" s="49" t="s">
        <v>99</v>
      </c>
      <c r="C52" s="49" t="s">
        <v>98</v>
      </c>
      <c r="D52" s="139">
        <v>1.9572000000000001</v>
      </c>
      <c r="E52" s="139">
        <v>3.9144000000000001</v>
      </c>
    </row>
    <row r="53" spans="1:5" ht="15.75">
      <c r="A53" s="48">
        <v>8340</v>
      </c>
      <c r="B53" s="49" t="s">
        <v>100</v>
      </c>
      <c r="C53" s="49" t="s">
        <v>100</v>
      </c>
      <c r="D53" s="139">
        <v>1.9572000000000001</v>
      </c>
      <c r="E53" s="139">
        <v>3.9144000000000001</v>
      </c>
    </row>
    <row r="54" spans="1:5" ht="15.75">
      <c r="A54" s="48">
        <v>8340</v>
      </c>
      <c r="B54" s="49" t="s">
        <v>101</v>
      </c>
      <c r="C54" s="49" t="s">
        <v>100</v>
      </c>
      <c r="D54" s="139">
        <v>1.9572000000000001</v>
      </c>
      <c r="E54" s="139">
        <v>3.9144000000000001</v>
      </c>
    </row>
    <row r="55" spans="1:5" ht="15.75">
      <c r="A55" s="48">
        <v>8340</v>
      </c>
      <c r="B55" s="49" t="s">
        <v>102</v>
      </c>
      <c r="C55" s="49" t="s">
        <v>100</v>
      </c>
      <c r="D55" s="139">
        <v>1.9572000000000001</v>
      </c>
      <c r="E55" s="139">
        <v>3.9144000000000001</v>
      </c>
    </row>
    <row r="56" spans="1:5" ht="15.75">
      <c r="A56" s="48">
        <v>8340</v>
      </c>
      <c r="B56" s="49" t="s">
        <v>103</v>
      </c>
      <c r="C56" s="49" t="s">
        <v>100</v>
      </c>
      <c r="D56" s="139">
        <v>1.9572000000000001</v>
      </c>
      <c r="E56" s="139">
        <v>3.9144000000000001</v>
      </c>
    </row>
    <row r="57" spans="1:5" ht="15.75">
      <c r="A57" s="48">
        <v>8340</v>
      </c>
      <c r="B57" s="49" t="s">
        <v>104</v>
      </c>
      <c r="C57" s="49" t="s">
        <v>100</v>
      </c>
      <c r="D57" s="139">
        <v>1.9572000000000001</v>
      </c>
      <c r="E57" s="139">
        <v>3.9144000000000001</v>
      </c>
    </row>
    <row r="58" spans="1:5" ht="15.75">
      <c r="A58" s="48">
        <v>8420</v>
      </c>
      <c r="B58" s="49" t="s">
        <v>105</v>
      </c>
      <c r="C58" s="49" t="s">
        <v>106</v>
      </c>
      <c r="D58" s="139">
        <v>1.9572000000000001</v>
      </c>
      <c r="E58" s="139">
        <v>3.9144000000000001</v>
      </c>
    </row>
    <row r="59" spans="1:5" ht="15.75">
      <c r="A59" s="48">
        <v>8421</v>
      </c>
      <c r="B59" s="49" t="s">
        <v>107</v>
      </c>
      <c r="C59" s="49" t="s">
        <v>106</v>
      </c>
      <c r="D59" s="139">
        <v>1.9572000000000001</v>
      </c>
      <c r="E59" s="139">
        <v>3.9144000000000001</v>
      </c>
    </row>
    <row r="60" spans="1:5" ht="15.75">
      <c r="A60" s="48">
        <v>8420</v>
      </c>
      <c r="B60" s="49" t="s">
        <v>108</v>
      </c>
      <c r="C60" s="49" t="s">
        <v>106</v>
      </c>
      <c r="D60" s="139">
        <v>1.9572000000000001</v>
      </c>
      <c r="E60" s="139">
        <v>3.9144000000000001</v>
      </c>
    </row>
    <row r="61" spans="1:5" ht="15.75">
      <c r="A61" s="48">
        <v>9840</v>
      </c>
      <c r="B61" s="49" t="s">
        <v>128</v>
      </c>
      <c r="C61" s="49" t="s">
        <v>128</v>
      </c>
      <c r="D61" s="139">
        <v>1.9572000000000001</v>
      </c>
      <c r="E61" s="139">
        <v>3.9144000000000001</v>
      </c>
    </row>
    <row r="62" spans="1:5" ht="15.75">
      <c r="A62" s="48">
        <v>9840</v>
      </c>
      <c r="B62" s="49" t="s">
        <v>129</v>
      </c>
      <c r="C62" s="49" t="s">
        <v>128</v>
      </c>
      <c r="D62" s="139">
        <v>1.9572000000000001</v>
      </c>
      <c r="E62" s="139">
        <v>3.9144000000000001</v>
      </c>
    </row>
    <row r="63" spans="1:5" ht="15.75">
      <c r="A63" s="48">
        <v>9800</v>
      </c>
      <c r="B63" s="49" t="s">
        <v>109</v>
      </c>
      <c r="C63" s="49" t="s">
        <v>110</v>
      </c>
      <c r="D63" s="139">
        <v>1.9572000000000001</v>
      </c>
      <c r="E63" s="139">
        <v>3.9144000000000001</v>
      </c>
    </row>
    <row r="64" spans="1:5" ht="15.75">
      <c r="A64" s="48">
        <v>9800</v>
      </c>
      <c r="B64" s="49" t="s">
        <v>111</v>
      </c>
      <c r="C64" s="49" t="s">
        <v>110</v>
      </c>
      <c r="D64" s="139">
        <v>1.9572000000000001</v>
      </c>
      <c r="E64" s="139">
        <v>3.9144000000000001</v>
      </c>
    </row>
    <row r="65" spans="1:5" ht="15.75">
      <c r="A65" s="48">
        <v>9800</v>
      </c>
      <c r="B65" s="49" t="s">
        <v>110</v>
      </c>
      <c r="C65" s="49" t="s">
        <v>110</v>
      </c>
      <c r="D65" s="139">
        <v>1.9572000000000001</v>
      </c>
      <c r="E65" s="139">
        <v>3.9144000000000001</v>
      </c>
    </row>
    <row r="66" spans="1:5" ht="15.75">
      <c r="A66" s="48">
        <v>9800</v>
      </c>
      <c r="B66" s="49" t="s">
        <v>112</v>
      </c>
      <c r="C66" s="49" t="s">
        <v>110</v>
      </c>
      <c r="D66" s="139">
        <v>1.9572000000000001</v>
      </c>
      <c r="E66" s="139">
        <v>3.9144000000000001</v>
      </c>
    </row>
    <row r="67" spans="1:5" ht="15.75">
      <c r="A67" s="48">
        <v>9800</v>
      </c>
      <c r="B67" s="49" t="s">
        <v>113</v>
      </c>
      <c r="C67" s="49" t="s">
        <v>110</v>
      </c>
      <c r="D67" s="139">
        <v>1.9572000000000001</v>
      </c>
      <c r="E67" s="139">
        <v>3.9144000000000001</v>
      </c>
    </row>
    <row r="68" spans="1:5" ht="15.75">
      <c r="A68" s="48">
        <v>9800</v>
      </c>
      <c r="B68" s="49" t="s">
        <v>114</v>
      </c>
      <c r="C68" s="49" t="s">
        <v>110</v>
      </c>
      <c r="D68" s="139">
        <v>1.9572000000000001</v>
      </c>
      <c r="E68" s="139">
        <v>3.9144000000000001</v>
      </c>
    </row>
    <row r="69" spans="1:5" ht="15.75">
      <c r="A69" s="48">
        <v>9800</v>
      </c>
      <c r="B69" s="49" t="s">
        <v>115</v>
      </c>
      <c r="C69" s="49" t="s">
        <v>110</v>
      </c>
      <c r="D69" s="139">
        <v>1.9572000000000001</v>
      </c>
      <c r="E69" s="139">
        <v>3.9144000000000001</v>
      </c>
    </row>
    <row r="70" spans="1:5" ht="15.75">
      <c r="A70" s="48">
        <v>9800</v>
      </c>
      <c r="B70" s="49" t="s">
        <v>116</v>
      </c>
      <c r="C70" s="49" t="s">
        <v>110</v>
      </c>
      <c r="D70" s="139">
        <v>1.9572000000000001</v>
      </c>
      <c r="E70" s="139">
        <v>3.9144000000000001</v>
      </c>
    </row>
    <row r="71" spans="1:5" ht="15.75">
      <c r="A71" s="48">
        <v>9800</v>
      </c>
      <c r="B71" s="49" t="s">
        <v>117</v>
      </c>
      <c r="C71" s="49" t="s">
        <v>110</v>
      </c>
      <c r="D71" s="139">
        <v>1.9572000000000001</v>
      </c>
      <c r="E71" s="139">
        <v>3.9144000000000001</v>
      </c>
    </row>
    <row r="72" spans="1:5" ht="15.75">
      <c r="A72" s="48">
        <v>9800</v>
      </c>
      <c r="B72" s="49" t="s">
        <v>118</v>
      </c>
      <c r="C72" s="49" t="s">
        <v>110</v>
      </c>
      <c r="D72" s="139">
        <v>1.9572000000000001</v>
      </c>
      <c r="E72" s="139">
        <v>3.9144000000000001</v>
      </c>
    </row>
    <row r="73" spans="1:5" ht="15.75">
      <c r="A73" s="48">
        <v>9800</v>
      </c>
      <c r="B73" s="49" t="s">
        <v>119</v>
      </c>
      <c r="C73" s="49" t="s">
        <v>110</v>
      </c>
      <c r="D73" s="139">
        <v>1.9572000000000001</v>
      </c>
      <c r="E73" s="139">
        <v>3.9144000000000001</v>
      </c>
    </row>
    <row r="74" spans="1:5" ht="15.75">
      <c r="A74" s="48">
        <v>9200</v>
      </c>
      <c r="B74" s="49" t="s">
        <v>120</v>
      </c>
      <c r="C74" s="49" t="s">
        <v>121</v>
      </c>
      <c r="D74" s="139">
        <v>1.9572000000000001</v>
      </c>
      <c r="E74" s="139">
        <v>3.9144000000000001</v>
      </c>
    </row>
    <row r="75" spans="1:5" ht="15.75">
      <c r="A75" s="48">
        <v>9200</v>
      </c>
      <c r="B75" s="49" t="s">
        <v>122</v>
      </c>
      <c r="C75" s="49" t="s">
        <v>121</v>
      </c>
      <c r="D75" s="139">
        <v>1.9572000000000001</v>
      </c>
      <c r="E75" s="139">
        <v>3.9144000000000001</v>
      </c>
    </row>
    <row r="76" spans="1:5" ht="15.75">
      <c r="A76" s="48">
        <v>9200</v>
      </c>
      <c r="B76" s="49" t="s">
        <v>121</v>
      </c>
      <c r="C76" s="49" t="s">
        <v>121</v>
      </c>
      <c r="D76" s="139">
        <v>1.9572000000000001</v>
      </c>
      <c r="E76" s="139">
        <v>3.9144000000000001</v>
      </c>
    </row>
    <row r="77" spans="1:5" ht="15.75">
      <c r="A77" s="48">
        <v>9200</v>
      </c>
      <c r="B77" s="49" t="s">
        <v>123</v>
      </c>
      <c r="C77" s="49" t="s">
        <v>121</v>
      </c>
      <c r="D77" s="139">
        <v>1.9572000000000001</v>
      </c>
      <c r="E77" s="139">
        <v>3.9144000000000001</v>
      </c>
    </row>
    <row r="78" spans="1:5" ht="15.75">
      <c r="A78" s="48">
        <v>9200</v>
      </c>
      <c r="B78" s="49" t="s">
        <v>124</v>
      </c>
      <c r="C78" s="49" t="s">
        <v>121</v>
      </c>
      <c r="D78" s="139">
        <v>1.9572000000000001</v>
      </c>
      <c r="E78" s="139">
        <v>3.9144000000000001</v>
      </c>
    </row>
    <row r="79" spans="1:5" ht="15.75">
      <c r="A79" s="48">
        <v>9200</v>
      </c>
      <c r="B79" s="49" t="s">
        <v>125</v>
      </c>
      <c r="C79" s="49" t="s">
        <v>121</v>
      </c>
      <c r="D79" s="139">
        <v>1.9572000000000001</v>
      </c>
      <c r="E79" s="139">
        <v>3.9144000000000001</v>
      </c>
    </row>
    <row r="80" spans="1:5" ht="15.75">
      <c r="A80" s="48">
        <v>9200</v>
      </c>
      <c r="B80" s="49" t="s">
        <v>126</v>
      </c>
      <c r="C80" s="49" t="s">
        <v>121</v>
      </c>
      <c r="D80" s="139">
        <v>1.9572000000000001</v>
      </c>
      <c r="E80" s="139">
        <v>3.9144000000000001</v>
      </c>
    </row>
    <row r="81" spans="1:5" ht="15.75">
      <c r="A81" s="48">
        <v>9200</v>
      </c>
      <c r="B81" s="49" t="s">
        <v>127</v>
      </c>
      <c r="C81" s="49" t="s">
        <v>121</v>
      </c>
      <c r="D81" s="139">
        <v>1.9572000000000001</v>
      </c>
      <c r="E81" s="139">
        <v>3.9144000000000001</v>
      </c>
    </row>
    <row r="82" spans="1:5" ht="15.75">
      <c r="A82" s="48">
        <v>9070</v>
      </c>
      <c r="B82" s="49" t="s">
        <v>130</v>
      </c>
      <c r="C82" s="49" t="s">
        <v>130</v>
      </c>
      <c r="D82" s="139">
        <v>1.9572000000000001</v>
      </c>
      <c r="E82" s="139">
        <v>3.9144000000000001</v>
      </c>
    </row>
    <row r="83" spans="1:5" ht="15.75">
      <c r="A83" s="48">
        <v>9070</v>
      </c>
      <c r="B83" s="49" t="s">
        <v>131</v>
      </c>
      <c r="C83" s="49" t="s">
        <v>130</v>
      </c>
      <c r="D83" s="139">
        <v>1.9572000000000001</v>
      </c>
      <c r="E83" s="139">
        <v>3.9144000000000001</v>
      </c>
    </row>
    <row r="84" spans="1:5" ht="15.75">
      <c r="A84" s="48">
        <v>1700</v>
      </c>
      <c r="B84" s="49" t="s">
        <v>132</v>
      </c>
      <c r="C84" s="49" t="s">
        <v>132</v>
      </c>
      <c r="D84" s="139">
        <v>1.9572000000000001</v>
      </c>
      <c r="E84" s="139">
        <v>3.9144000000000001</v>
      </c>
    </row>
    <row r="85" spans="1:5" ht="15.75">
      <c r="A85" s="50">
        <v>1620</v>
      </c>
      <c r="B85" s="51" t="s">
        <v>368</v>
      </c>
      <c r="C85" s="51" t="s">
        <v>368</v>
      </c>
      <c r="D85" s="141">
        <v>1.4903</v>
      </c>
      <c r="E85" s="141">
        <v>2.9805999999999999</v>
      </c>
    </row>
    <row r="86" spans="1:5" ht="15.75">
      <c r="A86" s="48">
        <v>9420</v>
      </c>
      <c r="B86" s="49" t="s">
        <v>133</v>
      </c>
      <c r="C86" s="49" t="s">
        <v>134</v>
      </c>
      <c r="D86" s="139">
        <v>1.9572000000000001</v>
      </c>
      <c r="E86" s="139">
        <v>3.9144000000000001</v>
      </c>
    </row>
    <row r="87" spans="1:5" ht="15.75">
      <c r="A87" s="48">
        <v>9420</v>
      </c>
      <c r="B87" s="49" t="s">
        <v>135</v>
      </c>
      <c r="C87" s="49" t="s">
        <v>134</v>
      </c>
      <c r="D87" s="139">
        <v>1.9572000000000001</v>
      </c>
      <c r="E87" s="139">
        <v>3.9144000000000001</v>
      </c>
    </row>
    <row r="88" spans="1:5" ht="15.75">
      <c r="A88" s="48">
        <v>9420</v>
      </c>
      <c r="B88" s="49" t="s">
        <v>136</v>
      </c>
      <c r="C88" s="49" t="s">
        <v>134</v>
      </c>
      <c r="D88" s="139">
        <v>1.9572000000000001</v>
      </c>
      <c r="E88" s="139">
        <v>3.9144000000000001</v>
      </c>
    </row>
    <row r="89" spans="1:5" ht="15.75">
      <c r="A89" s="48">
        <v>9420</v>
      </c>
      <c r="B89" s="49" t="s">
        <v>137</v>
      </c>
      <c r="C89" s="49" t="s">
        <v>134</v>
      </c>
      <c r="D89" s="139">
        <v>1.9572000000000001</v>
      </c>
      <c r="E89" s="139">
        <v>3.9144000000000001</v>
      </c>
    </row>
    <row r="90" spans="1:5" ht="15.75">
      <c r="A90" s="48">
        <v>9420</v>
      </c>
      <c r="B90" s="49" t="s">
        <v>138</v>
      </c>
      <c r="C90" s="49" t="s">
        <v>134</v>
      </c>
      <c r="D90" s="139">
        <v>1.9572000000000001</v>
      </c>
      <c r="E90" s="139">
        <v>3.9144000000000001</v>
      </c>
    </row>
    <row r="91" spans="1:5" ht="15.75">
      <c r="A91" s="48">
        <v>9420</v>
      </c>
      <c r="B91" s="49" t="s">
        <v>139</v>
      </c>
      <c r="C91" s="49" t="s">
        <v>134</v>
      </c>
      <c r="D91" s="139">
        <v>1.9572000000000001</v>
      </c>
      <c r="E91" s="139">
        <v>3.9144000000000001</v>
      </c>
    </row>
    <row r="92" spans="1:5" ht="15.75">
      <c r="A92" s="48">
        <v>9420</v>
      </c>
      <c r="B92" s="49" t="s">
        <v>140</v>
      </c>
      <c r="C92" s="49" t="s">
        <v>134</v>
      </c>
      <c r="D92" s="139">
        <v>1.9572000000000001</v>
      </c>
      <c r="E92" s="139">
        <v>3.9144000000000001</v>
      </c>
    </row>
    <row r="93" spans="1:5" ht="15.75">
      <c r="A93" s="48">
        <v>9420</v>
      </c>
      <c r="B93" s="49" t="s">
        <v>141</v>
      </c>
      <c r="C93" s="49" t="s">
        <v>134</v>
      </c>
      <c r="D93" s="139">
        <v>1.9572000000000001</v>
      </c>
      <c r="E93" s="139">
        <v>3.9144000000000001</v>
      </c>
    </row>
    <row r="94" spans="1:5" ht="15.75">
      <c r="A94" s="48">
        <v>9890</v>
      </c>
      <c r="B94" s="49" t="s">
        <v>142</v>
      </c>
      <c r="C94" s="49" t="s">
        <v>143</v>
      </c>
      <c r="D94" s="139">
        <v>1.9572000000000001</v>
      </c>
      <c r="E94" s="139">
        <v>3.9144000000000001</v>
      </c>
    </row>
    <row r="95" spans="1:5" ht="15.75">
      <c r="A95" s="48">
        <v>9890</v>
      </c>
      <c r="B95" s="49" t="s">
        <v>144</v>
      </c>
      <c r="C95" s="49" t="s">
        <v>143</v>
      </c>
      <c r="D95" s="139">
        <v>1.9572000000000001</v>
      </c>
      <c r="E95" s="139">
        <v>3.9144000000000001</v>
      </c>
    </row>
    <row r="96" spans="1:5" ht="15.75">
      <c r="A96" s="48">
        <v>9890</v>
      </c>
      <c r="B96" s="49" t="s">
        <v>145</v>
      </c>
      <c r="C96" s="49" t="s">
        <v>143</v>
      </c>
      <c r="D96" s="139">
        <v>1.9572000000000001</v>
      </c>
      <c r="E96" s="139">
        <v>3.9144000000000001</v>
      </c>
    </row>
    <row r="97" spans="1:5" ht="15.75">
      <c r="A97" s="48">
        <v>9890</v>
      </c>
      <c r="B97" s="49" t="s">
        <v>143</v>
      </c>
      <c r="C97" s="49" t="s">
        <v>143</v>
      </c>
      <c r="D97" s="139">
        <v>1.9572000000000001</v>
      </c>
      <c r="E97" s="139">
        <v>3.9144000000000001</v>
      </c>
    </row>
    <row r="98" spans="1:5" ht="15.75">
      <c r="A98" s="48">
        <v>9890</v>
      </c>
      <c r="B98" s="49" t="s">
        <v>146</v>
      </c>
      <c r="C98" s="49" t="s">
        <v>143</v>
      </c>
      <c r="D98" s="139">
        <v>1.9572000000000001</v>
      </c>
      <c r="E98" s="139">
        <v>3.9144000000000001</v>
      </c>
    </row>
    <row r="99" spans="1:5" ht="15.75">
      <c r="A99" s="48">
        <v>9890</v>
      </c>
      <c r="B99" s="49" t="s">
        <v>147</v>
      </c>
      <c r="C99" s="49" t="s">
        <v>143</v>
      </c>
      <c r="D99" s="139">
        <v>1.9572000000000001</v>
      </c>
      <c r="E99" s="139">
        <v>3.9144000000000001</v>
      </c>
    </row>
    <row r="100" spans="1:5" ht="15.75">
      <c r="A100" s="48">
        <v>9051</v>
      </c>
      <c r="B100" s="49" t="s">
        <v>158</v>
      </c>
      <c r="C100" s="49" t="s">
        <v>149</v>
      </c>
      <c r="D100" s="139">
        <v>1.9572000000000001</v>
      </c>
      <c r="E100" s="139">
        <v>3.9144000000000001</v>
      </c>
    </row>
    <row r="101" spans="1:5" ht="15.75">
      <c r="A101" s="48">
        <v>9042</v>
      </c>
      <c r="B101" s="49" t="s">
        <v>148</v>
      </c>
      <c r="C101" s="49" t="s">
        <v>149</v>
      </c>
      <c r="D101" s="139">
        <v>1.9572000000000001</v>
      </c>
      <c r="E101" s="139">
        <v>3.9144000000000001</v>
      </c>
    </row>
    <row r="102" spans="1:5" ht="15.75">
      <c r="A102" s="48">
        <v>9031</v>
      </c>
      <c r="B102" s="49" t="s">
        <v>150</v>
      </c>
      <c r="C102" s="49" t="s">
        <v>149</v>
      </c>
      <c r="D102" s="139">
        <v>1.9572000000000001</v>
      </c>
      <c r="E102" s="139">
        <v>3.9144000000000001</v>
      </c>
    </row>
    <row r="103" spans="1:5" ht="15.75">
      <c r="A103" s="48">
        <v>9050</v>
      </c>
      <c r="B103" s="49" t="s">
        <v>151</v>
      </c>
      <c r="C103" s="49" t="s">
        <v>149</v>
      </c>
      <c r="D103" s="139">
        <v>1.9572000000000001</v>
      </c>
      <c r="E103" s="139">
        <v>3.9144000000000001</v>
      </c>
    </row>
    <row r="104" spans="1:5" ht="15.75">
      <c r="A104" s="48">
        <v>9000</v>
      </c>
      <c r="B104" s="49" t="s">
        <v>152</v>
      </c>
      <c r="C104" s="49" t="s">
        <v>149</v>
      </c>
      <c r="D104" s="139">
        <v>1.9572000000000001</v>
      </c>
      <c r="E104" s="139">
        <v>3.9144000000000001</v>
      </c>
    </row>
    <row r="105" spans="1:5" ht="15.75">
      <c r="A105" s="48">
        <v>9050</v>
      </c>
      <c r="B105" s="49" t="s">
        <v>153</v>
      </c>
      <c r="C105" s="49" t="s">
        <v>149</v>
      </c>
      <c r="D105" s="139">
        <v>1.9572000000000001</v>
      </c>
      <c r="E105" s="139">
        <v>3.9144000000000001</v>
      </c>
    </row>
    <row r="106" spans="1:5" ht="15.75">
      <c r="A106" s="48">
        <v>9030</v>
      </c>
      <c r="B106" s="49" t="s">
        <v>154</v>
      </c>
      <c r="C106" s="49" t="s">
        <v>149</v>
      </c>
      <c r="D106" s="139">
        <v>1.9572000000000001</v>
      </c>
      <c r="E106" s="139">
        <v>3.9144000000000001</v>
      </c>
    </row>
    <row r="107" spans="1:5" ht="15.75">
      <c r="A107" s="48">
        <v>9042</v>
      </c>
      <c r="B107" s="49" t="s">
        <v>155</v>
      </c>
      <c r="C107" s="49" t="s">
        <v>149</v>
      </c>
      <c r="D107" s="139">
        <v>1.9572000000000001</v>
      </c>
      <c r="E107" s="139">
        <v>3.9144000000000001</v>
      </c>
    </row>
    <row r="108" spans="1:5" ht="15.75">
      <c r="A108" s="48">
        <v>9041</v>
      </c>
      <c r="B108" s="49" t="s">
        <v>156</v>
      </c>
      <c r="C108" s="49" t="s">
        <v>149</v>
      </c>
      <c r="D108" s="139">
        <v>1.9572000000000001</v>
      </c>
      <c r="E108" s="139">
        <v>3.9144000000000001</v>
      </c>
    </row>
    <row r="109" spans="1:5" ht="15.75">
      <c r="A109" s="48">
        <v>9040</v>
      </c>
      <c r="B109" s="49" t="s">
        <v>157</v>
      </c>
      <c r="C109" s="49" t="s">
        <v>149</v>
      </c>
      <c r="D109" s="139">
        <v>1.9572000000000001</v>
      </c>
      <c r="E109" s="139">
        <v>3.9144000000000001</v>
      </c>
    </row>
    <row r="110" spans="1:5" ht="15.75">
      <c r="A110" s="48">
        <v>9051</v>
      </c>
      <c r="B110" s="49" t="s">
        <v>159</v>
      </c>
      <c r="C110" s="49" t="s">
        <v>149</v>
      </c>
      <c r="D110" s="139">
        <v>1.9572000000000001</v>
      </c>
      <c r="E110" s="139">
        <v>3.9144000000000001</v>
      </c>
    </row>
    <row r="111" spans="1:5" ht="15.75">
      <c r="A111" s="48">
        <v>9042</v>
      </c>
      <c r="B111" s="49" t="s">
        <v>160</v>
      </c>
      <c r="C111" s="49" t="s">
        <v>149</v>
      </c>
      <c r="D111" s="139">
        <v>1.9572000000000001</v>
      </c>
      <c r="E111" s="139">
        <v>3.9144000000000001</v>
      </c>
    </row>
    <row r="112" spans="1:5" ht="15.75">
      <c r="A112" s="48">
        <v>9032</v>
      </c>
      <c r="B112" s="49" t="s">
        <v>161</v>
      </c>
      <c r="C112" s="49" t="s">
        <v>149</v>
      </c>
      <c r="D112" s="139">
        <v>1.9572000000000001</v>
      </c>
      <c r="E112" s="139">
        <v>3.9144000000000001</v>
      </c>
    </row>
    <row r="113" spans="1:5" ht="15.75">
      <c r="A113" s="48">
        <v>9052</v>
      </c>
      <c r="B113" s="49" t="s">
        <v>162</v>
      </c>
      <c r="C113" s="49" t="s">
        <v>149</v>
      </c>
      <c r="D113" s="139">
        <v>1.9572000000000001</v>
      </c>
      <c r="E113" s="139">
        <v>3.9144000000000001</v>
      </c>
    </row>
    <row r="114" spans="1:5" ht="15.75">
      <c r="A114" s="48">
        <v>1500</v>
      </c>
      <c r="B114" s="49" t="s">
        <v>163</v>
      </c>
      <c r="C114" s="49" t="s">
        <v>163</v>
      </c>
      <c r="D114" s="139">
        <v>1.9572000000000001</v>
      </c>
      <c r="E114" s="139">
        <v>3.9144000000000001</v>
      </c>
    </row>
    <row r="115" spans="1:5" ht="15.75">
      <c r="A115" s="48">
        <v>9220</v>
      </c>
      <c r="B115" s="49" t="s">
        <v>164</v>
      </c>
      <c r="C115" s="49" t="s">
        <v>164</v>
      </c>
      <c r="D115" s="139">
        <v>1.9572000000000001</v>
      </c>
      <c r="E115" s="139">
        <v>3.9144000000000001</v>
      </c>
    </row>
    <row r="116" spans="1:5" ht="15.75">
      <c r="A116" s="48">
        <v>9220</v>
      </c>
      <c r="B116" s="49" t="s">
        <v>165</v>
      </c>
      <c r="C116" s="49" t="s">
        <v>164</v>
      </c>
      <c r="D116" s="139">
        <v>1.9572000000000001</v>
      </c>
      <c r="E116" s="139">
        <v>3.9144000000000001</v>
      </c>
    </row>
    <row r="117" spans="1:5" ht="15.75">
      <c r="A117" s="48">
        <v>9552</v>
      </c>
      <c r="B117" s="49" t="s">
        <v>166</v>
      </c>
      <c r="C117" s="49" t="s">
        <v>167</v>
      </c>
      <c r="D117" s="139">
        <v>1.9572000000000001</v>
      </c>
      <c r="E117" s="139">
        <v>3.9144000000000001</v>
      </c>
    </row>
    <row r="118" spans="1:5" ht="15.75">
      <c r="A118" s="48">
        <v>9550</v>
      </c>
      <c r="B118" s="49" t="s">
        <v>167</v>
      </c>
      <c r="C118" s="49" t="s">
        <v>167</v>
      </c>
      <c r="D118" s="139">
        <v>1.9572000000000001</v>
      </c>
      <c r="E118" s="139">
        <v>3.9144000000000001</v>
      </c>
    </row>
    <row r="119" spans="1:5" ht="15.75">
      <c r="A119" s="48">
        <v>9550</v>
      </c>
      <c r="B119" s="49" t="s">
        <v>168</v>
      </c>
      <c r="C119" s="49" t="s">
        <v>167</v>
      </c>
      <c r="D119" s="139">
        <v>1.9572000000000001</v>
      </c>
      <c r="E119" s="139">
        <v>3.9144000000000001</v>
      </c>
    </row>
    <row r="120" spans="1:5" ht="15.75">
      <c r="A120" s="48">
        <v>9551</v>
      </c>
      <c r="B120" s="49" t="s">
        <v>169</v>
      </c>
      <c r="C120" s="49" t="s">
        <v>167</v>
      </c>
      <c r="D120" s="139">
        <v>1.9572000000000001</v>
      </c>
      <c r="E120" s="139">
        <v>3.9144000000000001</v>
      </c>
    </row>
    <row r="121" spans="1:5" ht="15.75">
      <c r="A121" s="48">
        <v>9550</v>
      </c>
      <c r="B121" s="49" t="s">
        <v>170</v>
      </c>
      <c r="C121" s="49" t="s">
        <v>167</v>
      </c>
      <c r="D121" s="139">
        <v>1.9572000000000001</v>
      </c>
      <c r="E121" s="139">
        <v>3.9144000000000001</v>
      </c>
    </row>
    <row r="122" spans="1:5" ht="15.75">
      <c r="A122" s="48">
        <v>9550</v>
      </c>
      <c r="B122" s="49" t="s">
        <v>171</v>
      </c>
      <c r="C122" s="49" t="s">
        <v>167</v>
      </c>
      <c r="D122" s="139">
        <v>1.9572000000000001</v>
      </c>
      <c r="E122" s="139">
        <v>3.9144000000000001</v>
      </c>
    </row>
    <row r="123" spans="1:5" ht="15.75">
      <c r="A123" s="48">
        <v>9550</v>
      </c>
      <c r="B123" s="49" t="s">
        <v>172</v>
      </c>
      <c r="C123" s="49" t="s">
        <v>167</v>
      </c>
      <c r="D123" s="139">
        <v>1.9572000000000001</v>
      </c>
      <c r="E123" s="139">
        <v>3.9144000000000001</v>
      </c>
    </row>
    <row r="124" spans="1:5" ht="15.75">
      <c r="A124" s="48">
        <v>9550</v>
      </c>
      <c r="B124" s="49" t="s">
        <v>173</v>
      </c>
      <c r="C124" s="49" t="s">
        <v>167</v>
      </c>
      <c r="D124" s="139">
        <v>1.9572000000000001</v>
      </c>
      <c r="E124" s="139">
        <v>3.9144000000000001</v>
      </c>
    </row>
    <row r="125" spans="1:5" ht="15.75">
      <c r="A125" s="48">
        <v>9667</v>
      </c>
      <c r="B125" s="49" t="s">
        <v>174</v>
      </c>
      <c r="C125" s="49" t="s">
        <v>175</v>
      </c>
      <c r="D125" s="139">
        <v>1.9572000000000001</v>
      </c>
      <c r="E125" s="139">
        <v>3.9144000000000001</v>
      </c>
    </row>
    <row r="126" spans="1:5" ht="15.75">
      <c r="A126" s="48">
        <v>9667</v>
      </c>
      <c r="B126" s="49" t="s">
        <v>176</v>
      </c>
      <c r="C126" s="49" t="s">
        <v>175</v>
      </c>
      <c r="D126" s="139">
        <v>1.9572000000000001</v>
      </c>
      <c r="E126" s="139">
        <v>3.9144000000000001</v>
      </c>
    </row>
    <row r="127" spans="1:5" ht="15.75">
      <c r="A127" s="48">
        <v>8490</v>
      </c>
      <c r="B127" s="49" t="s">
        <v>178</v>
      </c>
      <c r="C127" s="49" t="s">
        <v>178</v>
      </c>
      <c r="D127" s="139">
        <v>1.9572000000000001</v>
      </c>
      <c r="E127" s="139">
        <v>3.9144000000000001</v>
      </c>
    </row>
    <row r="128" spans="1:5" ht="15.75">
      <c r="A128" s="48">
        <v>8490</v>
      </c>
      <c r="B128" s="49" t="s">
        <v>180</v>
      </c>
      <c r="C128" s="49" t="s">
        <v>178</v>
      </c>
      <c r="D128" s="139">
        <v>1.9572000000000001</v>
      </c>
      <c r="E128" s="139">
        <v>3.9144000000000001</v>
      </c>
    </row>
    <row r="129" spans="1:5" ht="15.75">
      <c r="A129" s="48">
        <v>8490</v>
      </c>
      <c r="B129" s="49" t="s">
        <v>177</v>
      </c>
      <c r="C129" s="49" t="s">
        <v>178</v>
      </c>
      <c r="D129" s="139">
        <v>1.9572000000000001</v>
      </c>
      <c r="E129" s="139">
        <v>3.9144000000000001</v>
      </c>
    </row>
    <row r="130" spans="1:5" ht="15.75">
      <c r="A130" s="48">
        <v>8490</v>
      </c>
      <c r="B130" s="49" t="s">
        <v>179</v>
      </c>
      <c r="C130" s="49" t="s">
        <v>178</v>
      </c>
      <c r="D130" s="139">
        <v>1.9572000000000001</v>
      </c>
      <c r="E130" s="139">
        <v>3.9144000000000001</v>
      </c>
    </row>
    <row r="131" spans="1:5" ht="15.75">
      <c r="A131" s="48">
        <v>8490</v>
      </c>
      <c r="B131" s="49" t="s">
        <v>181</v>
      </c>
      <c r="C131" s="49" t="s">
        <v>178</v>
      </c>
      <c r="D131" s="139">
        <v>1.9572000000000001</v>
      </c>
      <c r="E131" s="139">
        <v>3.9144000000000001</v>
      </c>
    </row>
    <row r="132" spans="1:5" ht="15.75">
      <c r="A132" s="48">
        <v>9690</v>
      </c>
      <c r="B132" s="49" t="s">
        <v>182</v>
      </c>
      <c r="C132" s="49" t="s">
        <v>183</v>
      </c>
      <c r="D132" s="139">
        <v>1.9572000000000001</v>
      </c>
      <c r="E132" s="139">
        <v>3.9144000000000001</v>
      </c>
    </row>
    <row r="133" spans="1:5" ht="15.75">
      <c r="A133" s="48">
        <v>9690</v>
      </c>
      <c r="B133" s="49" t="s">
        <v>184</v>
      </c>
      <c r="C133" s="49" t="s">
        <v>183</v>
      </c>
      <c r="D133" s="139">
        <v>1.9572000000000001</v>
      </c>
      <c r="E133" s="139">
        <v>3.9144000000000001</v>
      </c>
    </row>
    <row r="134" spans="1:5" ht="15.75">
      <c r="A134" s="48">
        <v>9690</v>
      </c>
      <c r="B134" s="49" t="s">
        <v>185</v>
      </c>
      <c r="C134" s="49" t="s">
        <v>183</v>
      </c>
      <c r="D134" s="139">
        <v>1.9572000000000001</v>
      </c>
      <c r="E134" s="139">
        <v>3.9144000000000001</v>
      </c>
    </row>
    <row r="135" spans="1:5" ht="15.75">
      <c r="A135" s="48">
        <v>9690</v>
      </c>
      <c r="B135" s="49" t="s">
        <v>186</v>
      </c>
      <c r="C135" s="49" t="s">
        <v>183</v>
      </c>
      <c r="D135" s="139">
        <v>1.9572000000000001</v>
      </c>
      <c r="E135" s="139">
        <v>3.9144000000000001</v>
      </c>
    </row>
    <row r="136" spans="1:5" ht="15.75">
      <c r="A136" s="48">
        <v>9910</v>
      </c>
      <c r="B136" s="49" t="s">
        <v>187</v>
      </c>
      <c r="C136" s="49" t="s">
        <v>187</v>
      </c>
      <c r="D136" s="139">
        <v>1.9572000000000001</v>
      </c>
      <c r="E136" s="139">
        <v>3.9144000000000001</v>
      </c>
    </row>
    <row r="137" spans="1:5" ht="15.75">
      <c r="A137" s="48">
        <v>9910</v>
      </c>
      <c r="B137" s="49" t="s">
        <v>188</v>
      </c>
      <c r="C137" s="49" t="s">
        <v>187</v>
      </c>
      <c r="D137" s="139">
        <v>1.9572000000000001</v>
      </c>
      <c r="E137" s="139">
        <v>3.9144000000000001</v>
      </c>
    </row>
    <row r="138" spans="1:5" ht="15.75">
      <c r="A138" s="48">
        <v>9770</v>
      </c>
      <c r="B138" s="49" t="s">
        <v>189</v>
      </c>
      <c r="C138" s="49" t="s">
        <v>189</v>
      </c>
      <c r="D138" s="139">
        <v>1.9572000000000001</v>
      </c>
      <c r="E138" s="139">
        <v>3.9144000000000001</v>
      </c>
    </row>
    <row r="139" spans="1:5" ht="15.75">
      <c r="A139" s="48">
        <v>9770</v>
      </c>
      <c r="B139" s="49" t="s">
        <v>190</v>
      </c>
      <c r="C139" s="49" t="s">
        <v>189</v>
      </c>
      <c r="D139" s="139">
        <v>1.9572000000000001</v>
      </c>
      <c r="E139" s="139">
        <v>3.9144000000000001</v>
      </c>
    </row>
    <row r="140" spans="1:5" ht="15.75">
      <c r="A140" s="48">
        <v>9771</v>
      </c>
      <c r="B140" s="49" t="s">
        <v>191</v>
      </c>
      <c r="C140" s="49" t="s">
        <v>189</v>
      </c>
      <c r="D140" s="139">
        <v>1.9572000000000001</v>
      </c>
      <c r="E140" s="139">
        <v>3.9144000000000001</v>
      </c>
    </row>
    <row r="141" spans="1:5" ht="15.75">
      <c r="A141" s="48">
        <v>9772</v>
      </c>
      <c r="B141" s="49" t="s">
        <v>192</v>
      </c>
      <c r="C141" s="49" t="s">
        <v>189</v>
      </c>
      <c r="D141" s="139">
        <v>1.9572000000000001</v>
      </c>
      <c r="E141" s="139">
        <v>3.9144000000000001</v>
      </c>
    </row>
    <row r="142" spans="1:5" ht="15.75">
      <c r="A142" s="48">
        <v>9280</v>
      </c>
      <c r="B142" s="49" t="s">
        <v>193</v>
      </c>
      <c r="C142" s="49" t="s">
        <v>194</v>
      </c>
      <c r="D142" s="139">
        <v>1.9572000000000001</v>
      </c>
      <c r="E142" s="139">
        <v>3.9144000000000001</v>
      </c>
    </row>
    <row r="143" spans="1:5" ht="15.75">
      <c r="A143" s="48">
        <v>9280</v>
      </c>
      <c r="B143" s="49" t="s">
        <v>194</v>
      </c>
      <c r="C143" s="49" t="s">
        <v>194</v>
      </c>
      <c r="D143" s="139">
        <v>1.9572000000000001</v>
      </c>
      <c r="E143" s="139">
        <v>3.9144000000000001</v>
      </c>
    </row>
    <row r="144" spans="1:5" ht="15.75">
      <c r="A144" s="48">
        <v>9280</v>
      </c>
      <c r="B144" s="49" t="s">
        <v>195</v>
      </c>
      <c r="C144" s="49" t="s">
        <v>194</v>
      </c>
      <c r="D144" s="139">
        <v>1.9572000000000001</v>
      </c>
      <c r="E144" s="139">
        <v>3.9144000000000001</v>
      </c>
    </row>
    <row r="145" spans="1:5" ht="15.75">
      <c r="A145" s="48">
        <v>9340</v>
      </c>
      <c r="B145" s="49" t="s">
        <v>196</v>
      </c>
      <c r="C145" s="49" t="s">
        <v>197</v>
      </c>
      <c r="D145" s="139">
        <v>1.9572000000000001</v>
      </c>
      <c r="E145" s="139">
        <v>3.9144000000000001</v>
      </c>
    </row>
    <row r="146" spans="1:5" ht="15.75">
      <c r="A146" s="48">
        <v>9340</v>
      </c>
      <c r="B146" s="49" t="s">
        <v>197</v>
      </c>
      <c r="C146" s="49" t="s">
        <v>197</v>
      </c>
      <c r="D146" s="139">
        <v>1.9572000000000001</v>
      </c>
      <c r="E146" s="139">
        <v>3.9144000000000001</v>
      </c>
    </row>
    <row r="147" spans="1:5" ht="15.75">
      <c r="A147" s="48">
        <v>9340</v>
      </c>
      <c r="B147" s="49" t="s">
        <v>198</v>
      </c>
      <c r="C147" s="49" t="s">
        <v>197</v>
      </c>
      <c r="D147" s="139">
        <v>1.9572000000000001</v>
      </c>
      <c r="E147" s="139">
        <v>3.9144000000000001</v>
      </c>
    </row>
    <row r="148" spans="1:5" ht="15.75">
      <c r="A148" s="48">
        <v>9340</v>
      </c>
      <c r="B148" s="49" t="s">
        <v>199</v>
      </c>
      <c r="C148" s="49" t="s">
        <v>197</v>
      </c>
      <c r="D148" s="139">
        <v>1.9572000000000001</v>
      </c>
      <c r="E148" s="139">
        <v>3.9144000000000001</v>
      </c>
    </row>
    <row r="149" spans="1:5" ht="15.75">
      <c r="A149" s="48">
        <v>9340</v>
      </c>
      <c r="B149" s="49" t="s">
        <v>200</v>
      </c>
      <c r="C149" s="49" t="s">
        <v>197</v>
      </c>
      <c r="D149" s="139">
        <v>1.9572000000000001</v>
      </c>
      <c r="E149" s="139">
        <v>3.9144000000000001</v>
      </c>
    </row>
    <row r="150" spans="1:5" ht="15.75">
      <c r="A150" s="48">
        <v>1770</v>
      </c>
      <c r="B150" s="49" t="s">
        <v>201</v>
      </c>
      <c r="C150" s="49" t="s">
        <v>201</v>
      </c>
      <c r="D150" s="139">
        <v>1.9572000000000001</v>
      </c>
      <c r="E150" s="139">
        <v>3.9144000000000001</v>
      </c>
    </row>
    <row r="151" spans="1:5" ht="15.75">
      <c r="A151" s="48">
        <v>9570</v>
      </c>
      <c r="B151" s="49" t="s">
        <v>205</v>
      </c>
      <c r="C151" s="49" t="s">
        <v>203</v>
      </c>
      <c r="D151" s="139">
        <v>1.9572000000000001</v>
      </c>
      <c r="E151" s="139">
        <v>3.9144000000000001</v>
      </c>
    </row>
    <row r="152" spans="1:5" ht="15.75">
      <c r="A152" s="48">
        <v>9570</v>
      </c>
      <c r="B152" s="49" t="s">
        <v>202</v>
      </c>
      <c r="C152" s="49" t="s">
        <v>203</v>
      </c>
      <c r="D152" s="139">
        <v>1.9572000000000001</v>
      </c>
      <c r="E152" s="139">
        <v>3.9144000000000001</v>
      </c>
    </row>
    <row r="153" spans="1:5" ht="15.75">
      <c r="A153" s="48">
        <v>9572</v>
      </c>
      <c r="B153" s="49" t="s">
        <v>204</v>
      </c>
      <c r="C153" s="49" t="s">
        <v>203</v>
      </c>
      <c r="D153" s="139">
        <v>1.9572000000000001</v>
      </c>
      <c r="E153" s="139">
        <v>3.9144000000000001</v>
      </c>
    </row>
    <row r="154" spans="1:5" ht="15.75">
      <c r="A154" s="48">
        <v>1630</v>
      </c>
      <c r="B154" s="49" t="s">
        <v>369</v>
      </c>
      <c r="C154" s="49" t="s">
        <v>369</v>
      </c>
      <c r="D154" s="139">
        <v>1.9572000000000001</v>
      </c>
      <c r="E154" s="139">
        <v>3.9144000000000001</v>
      </c>
    </row>
    <row r="155" spans="1:5" ht="15.75">
      <c r="A155" s="48">
        <v>9080</v>
      </c>
      <c r="B155" s="49" t="s">
        <v>207</v>
      </c>
      <c r="C155" s="49" t="s">
        <v>206</v>
      </c>
      <c r="D155" s="139">
        <v>1.9572000000000001</v>
      </c>
      <c r="E155" s="139">
        <v>3.9144000000000001</v>
      </c>
    </row>
    <row r="156" spans="1:5" ht="15.75">
      <c r="A156" s="48">
        <v>9080</v>
      </c>
      <c r="B156" s="49" t="s">
        <v>206</v>
      </c>
      <c r="C156" s="49" t="s">
        <v>206</v>
      </c>
      <c r="D156" s="139">
        <v>1.9572000000000001</v>
      </c>
      <c r="E156" s="139">
        <v>3.9144000000000001</v>
      </c>
    </row>
    <row r="157" spans="1:5" ht="15.75">
      <c r="A157" s="48">
        <v>9080</v>
      </c>
      <c r="B157" s="49" t="s">
        <v>208</v>
      </c>
      <c r="C157" s="49" t="s">
        <v>206</v>
      </c>
      <c r="D157" s="139">
        <v>1.9572000000000001</v>
      </c>
      <c r="E157" s="139">
        <v>3.9144000000000001</v>
      </c>
    </row>
    <row r="158" spans="1:5" ht="15.75">
      <c r="A158" s="48">
        <v>9080</v>
      </c>
      <c r="B158" s="49" t="s">
        <v>209</v>
      </c>
      <c r="C158" s="49" t="s">
        <v>206</v>
      </c>
      <c r="D158" s="139">
        <v>1.9572000000000001</v>
      </c>
      <c r="E158" s="139">
        <v>3.9144000000000001</v>
      </c>
    </row>
    <row r="159" spans="1:5" ht="15.75">
      <c r="A159" s="48">
        <v>9920</v>
      </c>
      <c r="B159" s="49" t="s">
        <v>210</v>
      </c>
      <c r="C159" s="49" t="s">
        <v>210</v>
      </c>
      <c r="D159" s="139">
        <v>1.9572000000000001</v>
      </c>
      <c r="E159" s="139">
        <v>3.9144000000000001</v>
      </c>
    </row>
    <row r="160" spans="1:5" ht="15.75">
      <c r="A160" s="48">
        <v>9921</v>
      </c>
      <c r="B160" s="49" t="s">
        <v>211</v>
      </c>
      <c r="C160" s="49" t="s">
        <v>210</v>
      </c>
      <c r="D160" s="139">
        <v>1.9572000000000001</v>
      </c>
      <c r="E160" s="139">
        <v>3.9144000000000001</v>
      </c>
    </row>
    <row r="161" spans="1:5" ht="15.75">
      <c r="A161" s="48">
        <v>9680</v>
      </c>
      <c r="B161" s="49" t="s">
        <v>212</v>
      </c>
      <c r="C161" s="49" t="s">
        <v>213</v>
      </c>
      <c r="D161" s="139">
        <v>1.9572000000000001</v>
      </c>
      <c r="E161" s="139">
        <v>3.9144000000000001</v>
      </c>
    </row>
    <row r="162" spans="1:5" ht="15.75">
      <c r="A162" s="48">
        <v>9680</v>
      </c>
      <c r="B162" s="49" t="s">
        <v>214</v>
      </c>
      <c r="C162" s="49" t="s">
        <v>213</v>
      </c>
      <c r="D162" s="139">
        <v>1.9572000000000001</v>
      </c>
      <c r="E162" s="139">
        <v>3.9144000000000001</v>
      </c>
    </row>
    <row r="163" spans="1:5" ht="15.75">
      <c r="A163" s="48">
        <v>9681</v>
      </c>
      <c r="B163" s="49" t="s">
        <v>215</v>
      </c>
      <c r="C163" s="49" t="s">
        <v>213</v>
      </c>
      <c r="D163" s="139">
        <v>1.9572000000000001</v>
      </c>
      <c r="E163" s="139">
        <v>3.9144000000000001</v>
      </c>
    </row>
    <row r="164" spans="1:5" ht="15.75">
      <c r="A164" s="48">
        <v>9688</v>
      </c>
      <c r="B164" s="49" t="s">
        <v>216</v>
      </c>
      <c r="C164" s="49" t="s">
        <v>213</v>
      </c>
      <c r="D164" s="139">
        <v>1.9572000000000001</v>
      </c>
      <c r="E164" s="139">
        <v>3.9144000000000001</v>
      </c>
    </row>
    <row r="165" spans="1:5" ht="15.75">
      <c r="A165" s="48">
        <v>1831</v>
      </c>
      <c r="B165" s="49" t="s">
        <v>218</v>
      </c>
      <c r="C165" s="49" t="s">
        <v>217</v>
      </c>
      <c r="D165" s="139">
        <v>1.9572000000000001</v>
      </c>
      <c r="E165" s="139">
        <v>3.9144000000000001</v>
      </c>
    </row>
    <row r="166" spans="1:5" ht="15.75">
      <c r="A166" s="48">
        <v>1830</v>
      </c>
      <c r="B166" s="49" t="s">
        <v>217</v>
      </c>
      <c r="C166" s="49" t="s">
        <v>217</v>
      </c>
      <c r="D166" s="139">
        <v>1.9572000000000001</v>
      </c>
      <c r="E166" s="139">
        <v>3.9144000000000001</v>
      </c>
    </row>
    <row r="167" spans="1:5" ht="15.75">
      <c r="A167" s="48">
        <v>9090</v>
      </c>
      <c r="B167" s="49" t="s">
        <v>219</v>
      </c>
      <c r="C167" s="49" t="s">
        <v>220</v>
      </c>
      <c r="D167" s="139">
        <v>1.9572000000000001</v>
      </c>
      <c r="E167" s="139">
        <v>3.9144000000000001</v>
      </c>
    </row>
    <row r="168" spans="1:5" ht="15.75">
      <c r="A168" s="48">
        <v>9090</v>
      </c>
      <c r="B168" s="49" t="s">
        <v>220</v>
      </c>
      <c r="C168" s="49" t="s">
        <v>220</v>
      </c>
      <c r="D168" s="139">
        <v>1.9572000000000001</v>
      </c>
      <c r="E168" s="139">
        <v>3.9144000000000001</v>
      </c>
    </row>
    <row r="169" spans="1:5" ht="15.75">
      <c r="A169" s="48">
        <v>9820</v>
      </c>
      <c r="B169" s="49" t="s">
        <v>221</v>
      </c>
      <c r="C169" s="49" t="s">
        <v>222</v>
      </c>
      <c r="D169" s="139">
        <v>1.9572000000000001</v>
      </c>
      <c r="E169" s="139">
        <v>3.9144000000000001</v>
      </c>
    </row>
    <row r="170" spans="1:5" ht="15.75">
      <c r="A170" s="48">
        <v>9820</v>
      </c>
      <c r="B170" s="49" t="s">
        <v>223</v>
      </c>
      <c r="C170" s="49" t="s">
        <v>222</v>
      </c>
      <c r="D170" s="139">
        <v>1.9572000000000001</v>
      </c>
      <c r="E170" s="139">
        <v>3.9144000000000001</v>
      </c>
    </row>
    <row r="171" spans="1:5" ht="15.75">
      <c r="A171" s="48">
        <v>9820</v>
      </c>
      <c r="B171" s="49" t="s">
        <v>224</v>
      </c>
      <c r="C171" s="49" t="s">
        <v>222</v>
      </c>
      <c r="D171" s="139">
        <v>1.9572000000000001</v>
      </c>
      <c r="E171" s="139">
        <v>3.9144000000000001</v>
      </c>
    </row>
    <row r="172" spans="1:5" ht="15.75">
      <c r="A172" s="48">
        <v>9820</v>
      </c>
      <c r="B172" s="49" t="s">
        <v>222</v>
      </c>
      <c r="C172" s="49" t="s">
        <v>222</v>
      </c>
      <c r="D172" s="139">
        <v>1.9572000000000001</v>
      </c>
      <c r="E172" s="139">
        <v>3.9144000000000001</v>
      </c>
    </row>
    <row r="173" spans="1:5" ht="15.75">
      <c r="A173" s="48">
        <v>9820</v>
      </c>
      <c r="B173" s="49" t="s">
        <v>225</v>
      </c>
      <c r="C173" s="49" t="s">
        <v>222</v>
      </c>
      <c r="D173" s="139">
        <v>1.9572000000000001</v>
      </c>
      <c r="E173" s="139">
        <v>3.9144000000000001</v>
      </c>
    </row>
    <row r="174" spans="1:5" ht="15.75">
      <c r="A174" s="48">
        <v>9820</v>
      </c>
      <c r="B174" s="49" t="s">
        <v>226</v>
      </c>
      <c r="C174" s="49" t="s">
        <v>222</v>
      </c>
      <c r="D174" s="139">
        <v>1.9572000000000001</v>
      </c>
      <c r="E174" s="139">
        <v>3.9144000000000001</v>
      </c>
    </row>
    <row r="175" spans="1:5" ht="15.75">
      <c r="A175" s="48">
        <v>8432</v>
      </c>
      <c r="B175" s="49" t="s">
        <v>235</v>
      </c>
      <c r="C175" s="49" t="s">
        <v>228</v>
      </c>
      <c r="D175" s="139">
        <v>1.9572000000000001</v>
      </c>
      <c r="E175" s="139">
        <v>3.9144000000000001</v>
      </c>
    </row>
    <row r="176" spans="1:5" ht="15.75">
      <c r="A176" s="48">
        <v>8434</v>
      </c>
      <c r="B176" s="49" t="s">
        <v>229</v>
      </c>
      <c r="C176" s="49" t="s">
        <v>228</v>
      </c>
      <c r="D176" s="139">
        <v>1.9572000000000001</v>
      </c>
      <c r="E176" s="139">
        <v>3.9144000000000001</v>
      </c>
    </row>
    <row r="177" spans="1:5" ht="15.75">
      <c r="A177" s="48">
        <v>8433</v>
      </c>
      <c r="B177" s="49" t="s">
        <v>230</v>
      </c>
      <c r="C177" s="49" t="s">
        <v>228</v>
      </c>
      <c r="D177" s="139">
        <v>1.9572000000000001</v>
      </c>
      <c r="E177" s="139">
        <v>3.9144000000000001</v>
      </c>
    </row>
    <row r="178" spans="1:5" ht="15.75">
      <c r="A178" s="48">
        <v>8430</v>
      </c>
      <c r="B178" s="49" t="s">
        <v>228</v>
      </c>
      <c r="C178" s="49" t="s">
        <v>228</v>
      </c>
      <c r="D178" s="139">
        <v>1.9572000000000001</v>
      </c>
      <c r="E178" s="139">
        <v>3.9144000000000001</v>
      </c>
    </row>
    <row r="179" spans="1:5" ht="15.75">
      <c r="A179" s="48">
        <v>8433</v>
      </c>
      <c r="B179" s="49" t="s">
        <v>231</v>
      </c>
      <c r="C179" s="49" t="s">
        <v>228</v>
      </c>
      <c r="D179" s="139">
        <v>1.9572000000000001</v>
      </c>
      <c r="E179" s="139">
        <v>3.9144000000000001</v>
      </c>
    </row>
    <row r="180" spans="1:5" ht="15.75">
      <c r="A180" s="48">
        <v>8433</v>
      </c>
      <c r="B180" s="49" t="s">
        <v>232</v>
      </c>
      <c r="C180" s="49" t="s">
        <v>228</v>
      </c>
      <c r="D180" s="139">
        <v>1.9572000000000001</v>
      </c>
      <c r="E180" s="139">
        <v>3.9144000000000001</v>
      </c>
    </row>
    <row r="181" spans="1:5" ht="15.75">
      <c r="A181" s="48">
        <v>8433</v>
      </c>
      <c r="B181" s="49" t="s">
        <v>227</v>
      </c>
      <c r="C181" s="49" t="s">
        <v>228</v>
      </c>
      <c r="D181" s="139">
        <v>1.9572000000000001</v>
      </c>
      <c r="E181" s="139">
        <v>3.9144000000000001</v>
      </c>
    </row>
    <row r="182" spans="1:5" ht="15.75">
      <c r="A182" s="48">
        <v>8434</v>
      </c>
      <c r="B182" s="49" t="s">
        <v>233</v>
      </c>
      <c r="C182" s="49" t="s">
        <v>228</v>
      </c>
      <c r="D182" s="139">
        <v>1.9572000000000001</v>
      </c>
      <c r="E182" s="139">
        <v>3.9144000000000001</v>
      </c>
    </row>
    <row r="183" spans="1:5" ht="15.75">
      <c r="A183" s="48">
        <v>8431</v>
      </c>
      <c r="B183" s="49" t="s">
        <v>234</v>
      </c>
      <c r="C183" s="49" t="s">
        <v>228</v>
      </c>
      <c r="D183" s="139">
        <v>1.9572000000000001</v>
      </c>
      <c r="E183" s="139">
        <v>3.9144000000000001</v>
      </c>
    </row>
    <row r="184" spans="1:5" ht="15.75">
      <c r="A184" s="48">
        <v>8890</v>
      </c>
      <c r="B184" s="49" t="s">
        <v>236</v>
      </c>
      <c r="C184" s="49" t="s">
        <v>236</v>
      </c>
      <c r="D184" s="139">
        <v>1.9572000000000001</v>
      </c>
      <c r="E184" s="139">
        <v>3.9144000000000001</v>
      </c>
    </row>
    <row r="185" spans="1:5" ht="15.75">
      <c r="A185" s="48">
        <v>9810</v>
      </c>
      <c r="B185" s="49" t="s">
        <v>237</v>
      </c>
      <c r="C185" s="49" t="s">
        <v>238</v>
      </c>
      <c r="D185" s="139">
        <v>1.9572000000000001</v>
      </c>
      <c r="E185" s="139">
        <v>3.9144000000000001</v>
      </c>
    </row>
    <row r="186" spans="1:5" ht="15.75">
      <c r="A186" s="48">
        <v>9810</v>
      </c>
      <c r="B186" s="49" t="s">
        <v>238</v>
      </c>
      <c r="C186" s="49" t="s">
        <v>238</v>
      </c>
      <c r="D186" s="139">
        <v>1.9572000000000001</v>
      </c>
      <c r="E186" s="139">
        <v>3.9144000000000001</v>
      </c>
    </row>
    <row r="187" spans="1:5" ht="15.75">
      <c r="A187" s="48">
        <v>9850</v>
      </c>
      <c r="B187" s="49" t="s">
        <v>239</v>
      </c>
      <c r="C187" s="49" t="s">
        <v>240</v>
      </c>
      <c r="D187" s="139">
        <v>1.9572000000000001</v>
      </c>
      <c r="E187" s="139">
        <v>3.9144000000000001</v>
      </c>
    </row>
    <row r="188" spans="1:5" ht="15.75">
      <c r="A188" s="48">
        <v>9850</v>
      </c>
      <c r="B188" s="49" t="s">
        <v>241</v>
      </c>
      <c r="C188" s="49" t="s">
        <v>240</v>
      </c>
      <c r="D188" s="139">
        <v>1.9572000000000001</v>
      </c>
      <c r="E188" s="139">
        <v>3.9144000000000001</v>
      </c>
    </row>
    <row r="189" spans="1:5" ht="15.75">
      <c r="A189" s="48">
        <v>9850</v>
      </c>
      <c r="B189" s="49" t="s">
        <v>242</v>
      </c>
      <c r="C189" s="49" t="s">
        <v>240</v>
      </c>
      <c r="D189" s="139">
        <v>1.9572000000000001</v>
      </c>
      <c r="E189" s="139">
        <v>3.9144000000000001</v>
      </c>
    </row>
    <row r="190" spans="1:5" ht="15.75">
      <c r="A190" s="48">
        <v>9850</v>
      </c>
      <c r="B190" s="49" t="s">
        <v>240</v>
      </c>
      <c r="C190" s="49" t="s">
        <v>240</v>
      </c>
      <c r="D190" s="139">
        <v>1.9572000000000001</v>
      </c>
      <c r="E190" s="139">
        <v>3.9144000000000001</v>
      </c>
    </row>
    <row r="191" spans="1:5" ht="15.75">
      <c r="A191" s="48">
        <v>9850</v>
      </c>
      <c r="B191" s="49" t="s">
        <v>243</v>
      </c>
      <c r="C191" s="49" t="s">
        <v>240</v>
      </c>
      <c r="D191" s="139">
        <v>1.9572000000000001</v>
      </c>
      <c r="E191" s="139">
        <v>3.9144000000000001</v>
      </c>
    </row>
    <row r="192" spans="1:5" ht="15.75">
      <c r="A192" s="48">
        <v>9850</v>
      </c>
      <c r="B192" s="49" t="s">
        <v>244</v>
      </c>
      <c r="C192" s="49" t="s">
        <v>240</v>
      </c>
      <c r="D192" s="139">
        <v>1.9572000000000001</v>
      </c>
      <c r="E192" s="139">
        <v>3.9144000000000001</v>
      </c>
    </row>
    <row r="193" spans="1:5" ht="15.75">
      <c r="A193" s="48">
        <v>8400</v>
      </c>
      <c r="B193" s="49" t="s">
        <v>245</v>
      </c>
      <c r="C193" s="49" t="s">
        <v>246</v>
      </c>
      <c r="D193" s="139">
        <v>1.9572000000000001</v>
      </c>
      <c r="E193" s="139">
        <v>3.9144000000000001</v>
      </c>
    </row>
    <row r="194" spans="1:5" ht="15.75">
      <c r="A194" s="48">
        <v>8400</v>
      </c>
      <c r="B194" s="49" t="s">
        <v>246</v>
      </c>
      <c r="C194" s="49" t="s">
        <v>246</v>
      </c>
      <c r="D194" s="139">
        <v>1.9572000000000001</v>
      </c>
      <c r="E194" s="139">
        <v>3.9144000000000001</v>
      </c>
    </row>
    <row r="195" spans="1:5" ht="15.75">
      <c r="A195" s="48">
        <v>8400</v>
      </c>
      <c r="B195" s="49" t="s">
        <v>248</v>
      </c>
      <c r="C195" s="49" t="s">
        <v>246</v>
      </c>
      <c r="D195" s="139">
        <v>1.9572000000000001</v>
      </c>
      <c r="E195" s="139">
        <v>3.9144000000000001</v>
      </c>
    </row>
    <row r="196" spans="1:5" ht="15.75">
      <c r="A196" s="48">
        <v>8400</v>
      </c>
      <c r="B196" s="49" t="s">
        <v>247</v>
      </c>
      <c r="C196" s="49" t="s">
        <v>246</v>
      </c>
      <c r="D196" s="139">
        <v>1.9572000000000001</v>
      </c>
      <c r="E196" s="139">
        <v>3.9144000000000001</v>
      </c>
    </row>
    <row r="197" spans="1:5" ht="15.75">
      <c r="A197" s="48">
        <v>8400</v>
      </c>
      <c r="B197" s="49" t="s">
        <v>249</v>
      </c>
      <c r="C197" s="49" t="s">
        <v>246</v>
      </c>
      <c r="D197" s="139">
        <v>1.9572000000000001</v>
      </c>
      <c r="E197" s="139">
        <v>3.9144000000000001</v>
      </c>
    </row>
    <row r="198" spans="1:5" ht="15.75">
      <c r="A198" s="48">
        <v>9860</v>
      </c>
      <c r="B198" s="49" t="s">
        <v>250</v>
      </c>
      <c r="C198" s="49" t="s">
        <v>251</v>
      </c>
      <c r="D198" s="139">
        <v>1.9572000000000001</v>
      </c>
      <c r="E198" s="139">
        <v>3.9144000000000001</v>
      </c>
    </row>
    <row r="199" spans="1:5" ht="15.75">
      <c r="A199" s="48">
        <v>9860</v>
      </c>
      <c r="B199" s="49" t="s">
        <v>252</v>
      </c>
      <c r="C199" s="49" t="s">
        <v>251</v>
      </c>
      <c r="D199" s="139">
        <v>1.9572000000000001</v>
      </c>
      <c r="E199" s="139">
        <v>3.9144000000000001</v>
      </c>
    </row>
    <row r="200" spans="1:5" ht="15.75">
      <c r="A200" s="48">
        <v>9860</v>
      </c>
      <c r="B200" s="49" t="s">
        <v>253</v>
      </c>
      <c r="C200" s="49" t="s">
        <v>251</v>
      </c>
      <c r="D200" s="139">
        <v>1.9572000000000001</v>
      </c>
      <c r="E200" s="139">
        <v>3.9144000000000001</v>
      </c>
    </row>
    <row r="201" spans="1:5" ht="15.75">
      <c r="A201" s="48">
        <v>9860</v>
      </c>
      <c r="B201" s="49" t="s">
        <v>254</v>
      </c>
      <c r="C201" s="49" t="s">
        <v>251</v>
      </c>
      <c r="D201" s="139">
        <v>1.9572000000000001</v>
      </c>
      <c r="E201" s="139">
        <v>3.9144000000000001</v>
      </c>
    </row>
    <row r="202" spans="1:5" ht="15.75">
      <c r="A202" s="48">
        <v>9860</v>
      </c>
      <c r="B202" s="49" t="s">
        <v>251</v>
      </c>
      <c r="C202" s="49" t="s">
        <v>251</v>
      </c>
      <c r="D202" s="139">
        <v>1.9572000000000001</v>
      </c>
      <c r="E202" s="139">
        <v>3.9144000000000001</v>
      </c>
    </row>
    <row r="203" spans="1:5" ht="15.75">
      <c r="A203" s="48">
        <v>9860</v>
      </c>
      <c r="B203" s="49" t="s">
        <v>255</v>
      </c>
      <c r="C203" s="49" t="s">
        <v>251</v>
      </c>
      <c r="D203" s="139">
        <v>1.9572000000000001</v>
      </c>
      <c r="E203" s="139">
        <v>3.9144000000000001</v>
      </c>
    </row>
    <row r="204" spans="1:5" ht="15.75">
      <c r="A204" s="48">
        <v>8020</v>
      </c>
      <c r="B204" s="49" t="s">
        <v>257</v>
      </c>
      <c r="C204" s="49" t="s">
        <v>256</v>
      </c>
      <c r="D204" s="139">
        <v>1.9572000000000001</v>
      </c>
      <c r="E204" s="139">
        <v>3.9144000000000001</v>
      </c>
    </row>
    <row r="205" spans="1:5" ht="15.75">
      <c r="A205" s="48">
        <v>8020</v>
      </c>
      <c r="B205" s="49" t="s">
        <v>256</v>
      </c>
      <c r="C205" s="49" t="s">
        <v>256</v>
      </c>
      <c r="D205" s="139">
        <v>1.9572000000000001</v>
      </c>
      <c r="E205" s="139">
        <v>3.9144000000000001</v>
      </c>
    </row>
    <row r="206" spans="1:5" ht="15.75">
      <c r="A206" s="48">
        <v>8020</v>
      </c>
      <c r="B206" s="49" t="s">
        <v>258</v>
      </c>
      <c r="C206" s="49" t="s">
        <v>256</v>
      </c>
      <c r="D206" s="139">
        <v>1.9572000000000001</v>
      </c>
      <c r="E206" s="139">
        <v>3.9144000000000001</v>
      </c>
    </row>
    <row r="207" spans="1:5" ht="15.75">
      <c r="A207" s="48">
        <v>8020</v>
      </c>
      <c r="B207" s="49" t="s">
        <v>259</v>
      </c>
      <c r="C207" s="49" t="s">
        <v>256</v>
      </c>
      <c r="D207" s="139">
        <v>1.9572000000000001</v>
      </c>
      <c r="E207" s="139">
        <v>3.9144000000000001</v>
      </c>
    </row>
    <row r="208" spans="1:5" ht="15.75">
      <c r="A208" s="48">
        <v>9700</v>
      </c>
      <c r="B208" s="49" t="s">
        <v>260</v>
      </c>
      <c r="C208" s="49" t="s">
        <v>261</v>
      </c>
      <c r="D208" s="139">
        <v>1.9572000000000001</v>
      </c>
      <c r="E208" s="139">
        <v>3.9144000000000001</v>
      </c>
    </row>
    <row r="209" spans="1:5" ht="15.75">
      <c r="A209" s="48">
        <v>9700</v>
      </c>
      <c r="B209" s="49" t="s">
        <v>262</v>
      </c>
      <c r="C209" s="49" t="s">
        <v>261</v>
      </c>
      <c r="D209" s="139">
        <v>1.9572000000000001</v>
      </c>
      <c r="E209" s="139">
        <v>3.9144000000000001</v>
      </c>
    </row>
    <row r="210" spans="1:5" ht="15.75">
      <c r="A210" s="48">
        <v>9700</v>
      </c>
      <c r="B210" s="49" t="s">
        <v>264</v>
      </c>
      <c r="C210" s="49" t="s">
        <v>261</v>
      </c>
      <c r="D210" s="139">
        <v>1.9572000000000001</v>
      </c>
      <c r="E210" s="139">
        <v>3.9144000000000001</v>
      </c>
    </row>
    <row r="211" spans="1:5" ht="15.75">
      <c r="A211" s="48">
        <v>9700</v>
      </c>
      <c r="B211" s="49" t="s">
        <v>265</v>
      </c>
      <c r="C211" s="49" t="s">
        <v>261</v>
      </c>
      <c r="D211" s="139">
        <v>1.9572000000000001</v>
      </c>
      <c r="E211" s="139">
        <v>3.9144000000000001</v>
      </c>
    </row>
    <row r="212" spans="1:5" ht="15.75">
      <c r="A212" s="48">
        <v>9700</v>
      </c>
      <c r="B212" s="49" t="s">
        <v>266</v>
      </c>
      <c r="C212" s="49" t="s">
        <v>261</v>
      </c>
      <c r="D212" s="139">
        <v>1.9572000000000001</v>
      </c>
      <c r="E212" s="139">
        <v>3.9144000000000001</v>
      </c>
    </row>
    <row r="213" spans="1:5" ht="15.75">
      <c r="A213" s="48">
        <v>9700</v>
      </c>
      <c r="B213" s="49" t="s">
        <v>263</v>
      </c>
      <c r="C213" s="49" t="s">
        <v>261</v>
      </c>
      <c r="D213" s="139">
        <v>1.9572000000000001</v>
      </c>
      <c r="E213" s="139">
        <v>3.9144000000000001</v>
      </c>
    </row>
    <row r="214" spans="1:5" ht="15.75">
      <c r="A214" s="48">
        <v>9700</v>
      </c>
      <c r="B214" s="49" t="s">
        <v>267</v>
      </c>
      <c r="C214" s="49" t="s">
        <v>261</v>
      </c>
      <c r="D214" s="139">
        <v>1.9572000000000001</v>
      </c>
      <c r="E214" s="139">
        <v>3.9144000000000001</v>
      </c>
    </row>
    <row r="215" spans="1:5" ht="15.75">
      <c r="A215" s="48">
        <v>9700</v>
      </c>
      <c r="B215" s="49" t="s">
        <v>268</v>
      </c>
      <c r="C215" s="49" t="s">
        <v>261</v>
      </c>
      <c r="D215" s="139">
        <v>1.9572000000000001</v>
      </c>
      <c r="E215" s="139">
        <v>3.9144000000000001</v>
      </c>
    </row>
    <row r="216" spans="1:5" ht="15.75">
      <c r="A216" s="48">
        <v>9700</v>
      </c>
      <c r="B216" s="49" t="s">
        <v>269</v>
      </c>
      <c r="C216" s="49" t="s">
        <v>261</v>
      </c>
      <c r="D216" s="139">
        <v>1.9572000000000001</v>
      </c>
      <c r="E216" s="139">
        <v>3.9144000000000001</v>
      </c>
    </row>
    <row r="217" spans="1:5" ht="15.75">
      <c r="A217" s="48">
        <v>9700</v>
      </c>
      <c r="B217" s="49" t="s">
        <v>270</v>
      </c>
      <c r="C217" s="49" t="s">
        <v>261</v>
      </c>
      <c r="D217" s="139">
        <v>1.9572000000000001</v>
      </c>
      <c r="E217" s="139">
        <v>3.9144000000000001</v>
      </c>
    </row>
    <row r="218" spans="1:5" ht="15.75">
      <c r="A218" s="48">
        <v>9700</v>
      </c>
      <c r="B218" s="49" t="s">
        <v>271</v>
      </c>
      <c r="C218" s="49" t="s">
        <v>261</v>
      </c>
      <c r="D218" s="139">
        <v>1.9572000000000001</v>
      </c>
      <c r="E218" s="139">
        <v>3.9144000000000001</v>
      </c>
    </row>
    <row r="219" spans="1:5" ht="15.75">
      <c r="A219" s="48">
        <v>9700</v>
      </c>
      <c r="B219" s="49" t="s">
        <v>272</v>
      </c>
      <c r="C219" s="49" t="s">
        <v>261</v>
      </c>
      <c r="D219" s="139">
        <v>1.9572000000000001</v>
      </c>
      <c r="E219" s="139">
        <v>3.9144000000000001</v>
      </c>
    </row>
    <row r="220" spans="1:5" ht="15.75">
      <c r="A220" s="48">
        <v>9700</v>
      </c>
      <c r="B220" s="49" t="s">
        <v>273</v>
      </c>
      <c r="C220" s="49" t="s">
        <v>261</v>
      </c>
      <c r="D220" s="139">
        <v>1.9572000000000001</v>
      </c>
      <c r="E220" s="139">
        <v>3.9144000000000001</v>
      </c>
    </row>
    <row r="221" spans="1:5" ht="15.75">
      <c r="A221" s="48">
        <v>9700</v>
      </c>
      <c r="B221" s="49" t="s">
        <v>274</v>
      </c>
      <c r="C221" s="49" t="s">
        <v>261</v>
      </c>
      <c r="D221" s="139">
        <v>1.9572000000000001</v>
      </c>
      <c r="E221" s="139">
        <v>3.9144000000000001</v>
      </c>
    </row>
    <row r="222" spans="1:5" ht="15.75">
      <c r="A222" s="48">
        <v>9600</v>
      </c>
      <c r="B222" s="49" t="s">
        <v>275</v>
      </c>
      <c r="C222" s="49" t="s">
        <v>275</v>
      </c>
      <c r="D222" s="139">
        <v>1.9572000000000001</v>
      </c>
      <c r="E222" s="139">
        <v>3.9144000000000001</v>
      </c>
    </row>
    <row r="223" spans="1:5" ht="15.75">
      <c r="A223" s="48">
        <v>8755</v>
      </c>
      <c r="B223" s="49" t="s">
        <v>276</v>
      </c>
      <c r="C223" s="49" t="s">
        <v>276</v>
      </c>
      <c r="D223" s="139">
        <v>1.9572000000000001</v>
      </c>
      <c r="E223" s="139">
        <v>3.9144000000000001</v>
      </c>
    </row>
    <row r="224" spans="1:5" ht="15.75">
      <c r="A224" s="48">
        <v>9520</v>
      </c>
      <c r="B224" s="49" t="s">
        <v>277</v>
      </c>
      <c r="C224" s="49" t="s">
        <v>278</v>
      </c>
      <c r="D224" s="139">
        <v>1.9572000000000001</v>
      </c>
      <c r="E224" s="139">
        <v>3.9144000000000001</v>
      </c>
    </row>
    <row r="225" spans="1:5" ht="15.75">
      <c r="A225" s="48">
        <v>9521</v>
      </c>
      <c r="B225" s="49" t="s">
        <v>279</v>
      </c>
      <c r="C225" s="49" t="s">
        <v>278</v>
      </c>
      <c r="D225" s="139">
        <v>1.9572000000000001</v>
      </c>
      <c r="E225" s="139">
        <v>3.9144000000000001</v>
      </c>
    </row>
    <row r="226" spans="1:5" ht="15.75">
      <c r="A226" s="48">
        <v>9520</v>
      </c>
      <c r="B226" s="49" t="s">
        <v>278</v>
      </c>
      <c r="C226" s="49" t="s">
        <v>278</v>
      </c>
      <c r="D226" s="139">
        <v>1.9572000000000001</v>
      </c>
      <c r="E226" s="139">
        <v>3.9144000000000001</v>
      </c>
    </row>
    <row r="227" spans="1:5" ht="15.75">
      <c r="A227" s="48">
        <v>9520</v>
      </c>
      <c r="B227" s="49" t="s">
        <v>280</v>
      </c>
      <c r="C227" s="49" t="s">
        <v>278</v>
      </c>
      <c r="D227" s="139">
        <v>1.9572000000000001</v>
      </c>
      <c r="E227" s="139">
        <v>3.9144000000000001</v>
      </c>
    </row>
    <row r="228" spans="1:5" ht="15.75">
      <c r="A228" s="48">
        <v>9520</v>
      </c>
      <c r="B228" s="49" t="s">
        <v>281</v>
      </c>
      <c r="C228" s="49" t="s">
        <v>278</v>
      </c>
      <c r="D228" s="139">
        <v>1.9572000000000001</v>
      </c>
      <c r="E228" s="139">
        <v>3.9144000000000001</v>
      </c>
    </row>
    <row r="229" spans="1:5" ht="15.75">
      <c r="A229" s="48">
        <v>9831</v>
      </c>
      <c r="B229" s="49" t="s">
        <v>282</v>
      </c>
      <c r="C229" s="49" t="s">
        <v>283</v>
      </c>
      <c r="D229" s="139">
        <v>1.9572000000000001</v>
      </c>
      <c r="E229" s="139">
        <v>3.9144000000000001</v>
      </c>
    </row>
    <row r="230" spans="1:5" ht="15.75">
      <c r="A230" s="48">
        <v>9830</v>
      </c>
      <c r="B230" s="49" t="s">
        <v>283</v>
      </c>
      <c r="C230" s="49" t="s">
        <v>283</v>
      </c>
      <c r="D230" s="139">
        <v>1.9572000000000001</v>
      </c>
      <c r="E230" s="139">
        <v>3.9144000000000001</v>
      </c>
    </row>
    <row r="231" spans="1:5" ht="15.75">
      <c r="A231" s="48">
        <v>1742</v>
      </c>
      <c r="B231" s="49" t="s">
        <v>284</v>
      </c>
      <c r="C231" s="49" t="s">
        <v>285</v>
      </c>
      <c r="D231" s="139">
        <v>1.9572000000000001</v>
      </c>
      <c r="E231" s="139">
        <v>3.9144000000000001</v>
      </c>
    </row>
    <row r="232" spans="1:5" ht="15.75">
      <c r="A232" s="48">
        <v>1740</v>
      </c>
      <c r="B232" s="49" t="s">
        <v>285</v>
      </c>
      <c r="C232" s="49" t="s">
        <v>285</v>
      </c>
      <c r="D232" s="139">
        <v>1.9572000000000001</v>
      </c>
      <c r="E232" s="139">
        <v>3.9144000000000001</v>
      </c>
    </row>
    <row r="233" spans="1:5" ht="15.75">
      <c r="A233" s="48">
        <v>1741</v>
      </c>
      <c r="B233" s="49" t="s">
        <v>286</v>
      </c>
      <c r="C233" s="49" t="s">
        <v>285</v>
      </c>
      <c r="D233" s="139">
        <v>1.9572000000000001</v>
      </c>
      <c r="E233" s="139">
        <v>3.9144000000000001</v>
      </c>
    </row>
    <row r="234" spans="1:5" ht="15.75">
      <c r="A234" s="48">
        <v>1780</v>
      </c>
      <c r="B234" s="49" t="s">
        <v>370</v>
      </c>
      <c r="C234" s="49" t="s">
        <v>370</v>
      </c>
      <c r="D234" s="139">
        <v>1.9572000000000001</v>
      </c>
      <c r="E234" s="139">
        <v>3.9144000000000001</v>
      </c>
    </row>
    <row r="235" spans="1:5" ht="15.75">
      <c r="A235" s="48">
        <v>9230</v>
      </c>
      <c r="B235" s="49" t="s">
        <v>287</v>
      </c>
      <c r="C235" s="49" t="s">
        <v>288</v>
      </c>
      <c r="D235" s="139">
        <v>1.9572000000000001</v>
      </c>
      <c r="E235" s="139">
        <v>3.9144000000000001</v>
      </c>
    </row>
    <row r="236" spans="1:5" ht="15.75">
      <c r="A236" s="48">
        <v>9230</v>
      </c>
      <c r="B236" s="49" t="s">
        <v>289</v>
      </c>
      <c r="C236" s="49" t="s">
        <v>288</v>
      </c>
      <c r="D236" s="139">
        <v>1.9572000000000001</v>
      </c>
      <c r="E236" s="139">
        <v>3.9144000000000001</v>
      </c>
    </row>
    <row r="237" spans="1:5" ht="15.75">
      <c r="A237" s="48">
        <v>9230</v>
      </c>
      <c r="B237" s="49" t="s">
        <v>288</v>
      </c>
      <c r="C237" s="49" t="s">
        <v>288</v>
      </c>
      <c r="D237" s="139">
        <v>1.9572000000000001</v>
      </c>
      <c r="E237" s="139">
        <v>3.9144000000000001</v>
      </c>
    </row>
    <row r="238" spans="1:5" ht="15.75">
      <c r="A238" s="48">
        <v>9260</v>
      </c>
      <c r="B238" s="49" t="s">
        <v>290</v>
      </c>
      <c r="C238" s="49" t="s">
        <v>291</v>
      </c>
      <c r="D238" s="139">
        <v>1.9572000000000001</v>
      </c>
      <c r="E238" s="139">
        <v>3.9144000000000001</v>
      </c>
    </row>
    <row r="239" spans="1:5" ht="15.75">
      <c r="A239" s="48">
        <v>9260</v>
      </c>
      <c r="B239" s="49" t="s">
        <v>292</v>
      </c>
      <c r="C239" s="49" t="s">
        <v>291</v>
      </c>
      <c r="D239" s="139">
        <v>1.9572000000000001</v>
      </c>
      <c r="E239" s="139">
        <v>3.9144000000000001</v>
      </c>
    </row>
    <row r="240" spans="1:5" ht="15.75">
      <c r="A240" s="48">
        <v>9260</v>
      </c>
      <c r="B240" s="49" t="s">
        <v>291</v>
      </c>
      <c r="C240" s="49" t="s">
        <v>291</v>
      </c>
      <c r="D240" s="139">
        <v>1.9572000000000001</v>
      </c>
      <c r="E240" s="139">
        <v>3.9144000000000001</v>
      </c>
    </row>
    <row r="241" spans="1:5" ht="15.75">
      <c r="A241" s="48">
        <v>9790</v>
      </c>
      <c r="B241" s="49" t="s">
        <v>293</v>
      </c>
      <c r="C241" s="49" t="s">
        <v>294</v>
      </c>
      <c r="D241" s="139">
        <v>1.9572000000000001</v>
      </c>
      <c r="E241" s="139">
        <v>3.9144000000000001</v>
      </c>
    </row>
    <row r="242" spans="1:5" ht="15.75">
      <c r="A242" s="48">
        <v>9790</v>
      </c>
      <c r="B242" s="49" t="s">
        <v>295</v>
      </c>
      <c r="C242" s="49" t="s">
        <v>294</v>
      </c>
      <c r="D242" s="139">
        <v>1.9572000000000001</v>
      </c>
      <c r="E242" s="139">
        <v>3.9144000000000001</v>
      </c>
    </row>
    <row r="243" spans="1:5" ht="15.75">
      <c r="A243" s="48">
        <v>9790</v>
      </c>
      <c r="B243" s="49" t="s">
        <v>271</v>
      </c>
      <c r="C243" s="49" t="s">
        <v>294</v>
      </c>
      <c r="D243" s="139">
        <v>1.9572000000000001</v>
      </c>
      <c r="E243" s="139">
        <v>3.9144000000000001</v>
      </c>
    </row>
    <row r="244" spans="1:5" ht="15.75">
      <c r="A244" s="48">
        <v>9790</v>
      </c>
      <c r="B244" s="49" t="s">
        <v>296</v>
      </c>
      <c r="C244" s="49" t="s">
        <v>294</v>
      </c>
      <c r="D244" s="139">
        <v>1.9572000000000001</v>
      </c>
      <c r="E244" s="139">
        <v>3.9144000000000001</v>
      </c>
    </row>
    <row r="245" spans="1:5" ht="15.75">
      <c r="A245" s="48">
        <v>9790</v>
      </c>
      <c r="B245" s="49" t="s">
        <v>297</v>
      </c>
      <c r="C245" s="49" t="s">
        <v>294</v>
      </c>
      <c r="D245" s="139">
        <v>1.9572000000000001</v>
      </c>
      <c r="E245" s="139">
        <v>3.9144000000000001</v>
      </c>
    </row>
    <row r="246" spans="1:5" ht="15.75">
      <c r="A246" s="48">
        <v>1932</v>
      </c>
      <c r="B246" s="49" t="s">
        <v>372</v>
      </c>
      <c r="C246" s="49" t="s">
        <v>371</v>
      </c>
      <c r="D246" s="139">
        <v>1.9572000000000001</v>
      </c>
      <c r="E246" s="139">
        <v>3.9144000000000001</v>
      </c>
    </row>
    <row r="247" spans="1:5" ht="15.75">
      <c r="A247" s="48">
        <v>1933</v>
      </c>
      <c r="B247" s="49" t="s">
        <v>373</v>
      </c>
      <c r="C247" s="49" t="s">
        <v>371</v>
      </c>
      <c r="D247" s="139">
        <v>1.9572000000000001</v>
      </c>
      <c r="E247" s="139">
        <v>3.9144000000000001</v>
      </c>
    </row>
    <row r="248" spans="1:5" ht="15.75">
      <c r="A248" s="48">
        <v>1930</v>
      </c>
      <c r="B248" s="49" t="s">
        <v>371</v>
      </c>
      <c r="C248" s="49" t="s">
        <v>371</v>
      </c>
      <c r="D248" s="139">
        <v>1.9572000000000001</v>
      </c>
      <c r="E248" s="139">
        <v>3.9144000000000001</v>
      </c>
    </row>
    <row r="249" spans="1:5" ht="15.75">
      <c r="A249" s="48">
        <v>9060</v>
      </c>
      <c r="B249" s="49" t="s">
        <v>298</v>
      </c>
      <c r="C249" s="49" t="s">
        <v>298</v>
      </c>
      <c r="D249" s="139">
        <v>1.9572000000000001</v>
      </c>
      <c r="E249" s="139">
        <v>3.9144000000000001</v>
      </c>
    </row>
    <row r="250" spans="1:5" ht="15.75">
      <c r="A250" s="48">
        <v>9750</v>
      </c>
      <c r="B250" s="49" t="s">
        <v>299</v>
      </c>
      <c r="C250" s="49" t="s">
        <v>300</v>
      </c>
      <c r="D250" s="139">
        <v>1.9572000000000001</v>
      </c>
      <c r="E250" s="139">
        <v>3.9144000000000001</v>
      </c>
    </row>
    <row r="251" spans="1:5" ht="15.75">
      <c r="A251" s="48">
        <v>9750</v>
      </c>
      <c r="B251" s="49" t="s">
        <v>301</v>
      </c>
      <c r="C251" s="49" t="s">
        <v>300</v>
      </c>
      <c r="D251" s="139">
        <v>1.9572000000000001</v>
      </c>
      <c r="E251" s="139">
        <v>3.9144000000000001</v>
      </c>
    </row>
    <row r="252" spans="1:5" ht="15.75">
      <c r="A252" s="48">
        <v>9750</v>
      </c>
      <c r="B252" s="49" t="s">
        <v>300</v>
      </c>
      <c r="C252" s="49" t="s">
        <v>300</v>
      </c>
      <c r="D252" s="139">
        <v>1.9572000000000001</v>
      </c>
      <c r="E252" s="139">
        <v>3.9144000000000001</v>
      </c>
    </row>
    <row r="253" spans="1:5" ht="15.75">
      <c r="A253" s="48">
        <v>9931</v>
      </c>
      <c r="B253" s="49" t="s">
        <v>302</v>
      </c>
      <c r="C253" s="49" t="s">
        <v>303</v>
      </c>
      <c r="D253" s="139">
        <v>1.9572000000000001</v>
      </c>
      <c r="E253" s="139">
        <v>3.9144000000000001</v>
      </c>
    </row>
    <row r="254" spans="1:5" ht="15.75">
      <c r="A254" s="48">
        <v>9932</v>
      </c>
      <c r="B254" s="49" t="s">
        <v>304</v>
      </c>
      <c r="C254" s="49" t="s">
        <v>303</v>
      </c>
      <c r="D254" s="139">
        <v>1.9572000000000001</v>
      </c>
      <c r="E254" s="139">
        <v>3.9144000000000001</v>
      </c>
    </row>
    <row r="255" spans="1:5" ht="15.75">
      <c r="A255" s="48">
        <v>9930</v>
      </c>
      <c r="B255" s="49" t="s">
        <v>303</v>
      </c>
      <c r="C255" s="49" t="s">
        <v>303</v>
      </c>
      <c r="D255" s="139">
        <v>1.9572000000000001</v>
      </c>
      <c r="E255" s="139">
        <v>3.9144000000000001</v>
      </c>
    </row>
    <row r="256" spans="1:5" ht="15.75">
      <c r="A256" s="48">
        <v>9620</v>
      </c>
      <c r="B256" s="49" t="s">
        <v>305</v>
      </c>
      <c r="C256" s="49" t="s">
        <v>306</v>
      </c>
      <c r="D256" s="139">
        <v>1.9572000000000001</v>
      </c>
      <c r="E256" s="139">
        <v>3.9144000000000001</v>
      </c>
    </row>
    <row r="257" spans="1:5" ht="15.75">
      <c r="A257" s="48">
        <v>9620</v>
      </c>
      <c r="B257" s="49" t="s">
        <v>307</v>
      </c>
      <c r="C257" s="49" t="s">
        <v>306</v>
      </c>
      <c r="D257" s="139">
        <v>1.9572000000000001</v>
      </c>
      <c r="E257" s="139">
        <v>3.9144000000000001</v>
      </c>
    </row>
    <row r="258" spans="1:5" ht="15.75">
      <c r="A258" s="48">
        <v>9620</v>
      </c>
      <c r="B258" s="49" t="s">
        <v>308</v>
      </c>
      <c r="C258" s="49" t="s">
        <v>306</v>
      </c>
      <c r="D258" s="139">
        <v>1.9572000000000001</v>
      </c>
      <c r="E258" s="139">
        <v>3.9144000000000001</v>
      </c>
    </row>
    <row r="259" spans="1:5" ht="15.75">
      <c r="A259" s="48">
        <v>9620</v>
      </c>
      <c r="B259" s="49" t="s">
        <v>309</v>
      </c>
      <c r="C259" s="49" t="s">
        <v>306</v>
      </c>
      <c r="D259" s="139">
        <v>1.9572000000000001</v>
      </c>
      <c r="E259" s="139">
        <v>3.9144000000000001</v>
      </c>
    </row>
    <row r="260" spans="1:5" ht="15.75">
      <c r="A260" s="48">
        <v>9620</v>
      </c>
      <c r="B260" s="49" t="s">
        <v>310</v>
      </c>
      <c r="C260" s="49" t="s">
        <v>306</v>
      </c>
      <c r="D260" s="139">
        <v>1.9572000000000001</v>
      </c>
      <c r="E260" s="139">
        <v>3.9144000000000001</v>
      </c>
    </row>
    <row r="261" spans="1:5" ht="15.75">
      <c r="A261" s="48">
        <v>9620</v>
      </c>
      <c r="B261" s="49" t="s">
        <v>311</v>
      </c>
      <c r="C261" s="49" t="s">
        <v>306</v>
      </c>
      <c r="D261" s="139">
        <v>1.9572000000000001</v>
      </c>
      <c r="E261" s="139">
        <v>3.9144000000000001</v>
      </c>
    </row>
    <row r="262" spans="1:5" ht="15.75">
      <c r="A262" s="48">
        <v>9620</v>
      </c>
      <c r="B262" s="49" t="s">
        <v>312</v>
      </c>
      <c r="C262" s="49" t="s">
        <v>306</v>
      </c>
      <c r="D262" s="139">
        <v>1.9572000000000001</v>
      </c>
      <c r="E262" s="139">
        <v>3.9144000000000001</v>
      </c>
    </row>
    <row r="263" spans="1:5" ht="15.75">
      <c r="A263" s="48">
        <v>9620</v>
      </c>
      <c r="B263" s="49" t="s">
        <v>87</v>
      </c>
      <c r="C263" s="49" t="s">
        <v>306</v>
      </c>
      <c r="D263" s="139">
        <v>1.9572000000000001</v>
      </c>
      <c r="E263" s="139">
        <v>3.9144000000000001</v>
      </c>
    </row>
    <row r="264" spans="1:5" ht="15.75">
      <c r="A264" s="48">
        <v>9620</v>
      </c>
      <c r="B264" s="49" t="s">
        <v>313</v>
      </c>
      <c r="C264" s="49" t="s">
        <v>306</v>
      </c>
      <c r="D264" s="139">
        <v>1.9572000000000001</v>
      </c>
      <c r="E264" s="139">
        <v>3.9144000000000001</v>
      </c>
    </row>
    <row r="265" spans="1:5" ht="15.75">
      <c r="A265" s="48">
        <v>9620</v>
      </c>
      <c r="B265" s="49" t="s">
        <v>314</v>
      </c>
      <c r="C265" s="49" t="s">
        <v>306</v>
      </c>
      <c r="D265" s="139">
        <v>1.9572000000000001</v>
      </c>
      <c r="E265" s="139">
        <v>3.9144000000000001</v>
      </c>
    </row>
    <row r="266" spans="1:5" ht="15.75">
      <c r="A266" s="48">
        <v>9620</v>
      </c>
      <c r="B266" s="49" t="s">
        <v>306</v>
      </c>
      <c r="C266" s="49" t="s">
        <v>306</v>
      </c>
      <c r="D266" s="139">
        <v>1.9572000000000001</v>
      </c>
      <c r="E266" s="139">
        <v>3.9144000000000001</v>
      </c>
    </row>
    <row r="267" spans="1:5" ht="15.75">
      <c r="A267" s="48">
        <v>8377</v>
      </c>
      <c r="B267" s="49" t="s">
        <v>315</v>
      </c>
      <c r="C267" s="49" t="s">
        <v>316</v>
      </c>
      <c r="D267" s="139">
        <v>1.9572000000000001</v>
      </c>
      <c r="E267" s="139">
        <v>3.9144000000000001</v>
      </c>
    </row>
    <row r="268" spans="1:5" ht="15.75">
      <c r="A268" s="48">
        <v>8377</v>
      </c>
      <c r="B268" s="49" t="s">
        <v>317</v>
      </c>
      <c r="C268" s="49" t="s">
        <v>316</v>
      </c>
      <c r="D268" s="139">
        <v>1.9572000000000001</v>
      </c>
      <c r="E268" s="139">
        <v>3.9144000000000001</v>
      </c>
    </row>
    <row r="269" spans="1:5" ht="15.75">
      <c r="A269" s="48">
        <v>8377</v>
      </c>
      <c r="B269" s="49" t="s">
        <v>318</v>
      </c>
      <c r="C269" s="49" t="s">
        <v>316</v>
      </c>
      <c r="D269" s="139">
        <v>1.9572000000000001</v>
      </c>
      <c r="E269" s="139">
        <v>3.9144000000000001</v>
      </c>
    </row>
    <row r="270" spans="1:5" ht="15.75">
      <c r="A270" s="48">
        <v>8377</v>
      </c>
      <c r="B270" s="49" t="s">
        <v>316</v>
      </c>
      <c r="C270" s="49" t="s">
        <v>316</v>
      </c>
      <c r="D270" s="139">
        <v>1.9572000000000001</v>
      </c>
      <c r="E270" s="139">
        <v>3.9144000000000001</v>
      </c>
    </row>
    <row r="271" spans="1:5" ht="15.75">
      <c r="A271" s="48">
        <v>9870</v>
      </c>
      <c r="B271" s="49" t="s">
        <v>217</v>
      </c>
      <c r="C271" s="49" t="s">
        <v>319</v>
      </c>
      <c r="D271" s="139">
        <v>1.9572000000000001</v>
      </c>
      <c r="E271" s="139">
        <v>3.9144000000000001</v>
      </c>
    </row>
    <row r="272" spans="1:5" ht="15.75">
      <c r="A272" s="48">
        <v>9870</v>
      </c>
      <c r="B272" s="49" t="s">
        <v>320</v>
      </c>
      <c r="C272" s="49" t="s">
        <v>319</v>
      </c>
      <c r="D272" s="139">
        <v>1.9572000000000001</v>
      </c>
      <c r="E272" s="139">
        <v>3.9144000000000001</v>
      </c>
    </row>
    <row r="273" spans="1:5" ht="15.75">
      <c r="A273" s="48">
        <v>9870</v>
      </c>
      <c r="B273" s="49" t="s">
        <v>319</v>
      </c>
      <c r="C273" s="49" t="s">
        <v>319</v>
      </c>
      <c r="D273" s="139">
        <v>1.9572000000000001</v>
      </c>
      <c r="E273" s="139">
        <v>3.9144000000000001</v>
      </c>
    </row>
    <row r="274" spans="1:5" ht="15.75">
      <c r="A274" s="48">
        <v>9630</v>
      </c>
      <c r="B274" s="49" t="s">
        <v>321</v>
      </c>
      <c r="C274" s="49" t="s">
        <v>322</v>
      </c>
      <c r="D274" s="139">
        <v>1.9572000000000001</v>
      </c>
      <c r="E274" s="139">
        <v>3.9144000000000001</v>
      </c>
    </row>
    <row r="275" spans="1:5" ht="15.75">
      <c r="A275" s="48">
        <v>9630</v>
      </c>
      <c r="B275" s="49" t="s">
        <v>323</v>
      </c>
      <c r="C275" s="49" t="s">
        <v>322</v>
      </c>
      <c r="D275" s="139">
        <v>1.9572000000000001</v>
      </c>
      <c r="E275" s="139">
        <v>3.9144000000000001</v>
      </c>
    </row>
    <row r="276" spans="1:5" ht="15.75">
      <c r="A276" s="48">
        <v>9630</v>
      </c>
      <c r="B276" s="49" t="s">
        <v>324</v>
      </c>
      <c r="C276" s="49" t="s">
        <v>322</v>
      </c>
      <c r="D276" s="139">
        <v>1.9572000000000001</v>
      </c>
      <c r="E276" s="139">
        <v>3.9144000000000001</v>
      </c>
    </row>
    <row r="277" spans="1:5" ht="15.75">
      <c r="A277" s="48">
        <v>9630</v>
      </c>
      <c r="B277" s="49" t="s">
        <v>325</v>
      </c>
      <c r="C277" s="49" t="s">
        <v>322</v>
      </c>
      <c r="D277" s="139">
        <v>1.9572000000000001</v>
      </c>
      <c r="E277" s="139">
        <v>3.9144000000000001</v>
      </c>
    </row>
    <row r="278" spans="1:5" ht="15.75">
      <c r="A278" s="48">
        <v>9630</v>
      </c>
      <c r="B278" s="49" t="s">
        <v>326</v>
      </c>
      <c r="C278" s="49" t="s">
        <v>322</v>
      </c>
      <c r="D278" s="139">
        <v>1.9572000000000001</v>
      </c>
      <c r="E278" s="139">
        <v>3.9144000000000001</v>
      </c>
    </row>
    <row r="279" spans="1:5" ht="15.75">
      <c r="A279" s="48">
        <v>9636</v>
      </c>
      <c r="B279" s="49" t="s">
        <v>327</v>
      </c>
      <c r="C279" s="49" t="s">
        <v>322</v>
      </c>
      <c r="D279" s="139">
        <v>1.9572000000000001</v>
      </c>
      <c r="E279" s="139">
        <v>3.9144000000000001</v>
      </c>
    </row>
    <row r="280" spans="1:5" ht="15.75">
      <c r="A280" s="48">
        <v>9630</v>
      </c>
      <c r="B280" s="49" t="s">
        <v>328</v>
      </c>
      <c r="C280" s="49" t="s">
        <v>322</v>
      </c>
      <c r="D280" s="139">
        <v>1.9572000000000001</v>
      </c>
      <c r="E280" s="139">
        <v>3.9144000000000001</v>
      </c>
    </row>
    <row r="281" spans="1:5" ht="15.75">
      <c r="A281" s="48">
        <v>9630</v>
      </c>
      <c r="B281" s="49" t="s">
        <v>329</v>
      </c>
      <c r="C281" s="49" t="s">
        <v>322</v>
      </c>
      <c r="D281" s="139">
        <v>1.9572000000000001</v>
      </c>
      <c r="E281" s="139">
        <v>3.9144000000000001</v>
      </c>
    </row>
    <row r="282" spans="1:5" ht="15.75">
      <c r="A282" s="48">
        <v>9630</v>
      </c>
      <c r="B282" s="49" t="s">
        <v>330</v>
      </c>
      <c r="C282" s="49" t="s">
        <v>322</v>
      </c>
      <c r="D282" s="139">
        <v>1.9572000000000001</v>
      </c>
      <c r="E282" s="139">
        <v>3.9144000000000001</v>
      </c>
    </row>
    <row r="283" spans="1:5" ht="15.75">
      <c r="A283" s="48">
        <v>9630</v>
      </c>
      <c r="B283" s="49" t="s">
        <v>331</v>
      </c>
      <c r="C283" s="49" t="s">
        <v>322</v>
      </c>
      <c r="D283" s="139">
        <v>1.9572000000000001</v>
      </c>
      <c r="E283" s="139">
        <v>3.9144000000000001</v>
      </c>
    </row>
    <row r="284" spans="1:5" ht="15.75">
      <c r="A284" s="48">
        <v>9630</v>
      </c>
      <c r="B284" s="49" t="s">
        <v>332</v>
      </c>
      <c r="C284" s="49" t="s">
        <v>322</v>
      </c>
      <c r="D284" s="139">
        <v>1.9572000000000001</v>
      </c>
      <c r="E284" s="139">
        <v>3.9144000000000001</v>
      </c>
    </row>
    <row r="285" spans="1:5" ht="15.75">
      <c r="A285" s="52">
        <v>9630</v>
      </c>
      <c r="B285" s="53" t="s">
        <v>333</v>
      </c>
      <c r="C285" s="53" t="s">
        <v>322</v>
      </c>
      <c r="D285" s="139">
        <v>1.9572000000000001</v>
      </c>
      <c r="E285" s="139">
        <v>3.9144000000000001</v>
      </c>
    </row>
  </sheetData>
  <sheetProtection algorithmName="SHA-512" hashValue="w0WV1F10vIsKlzus9ZrhaVfyx+dRH2JEJUbtTspFEAwyCOYZHhXDSpnakLkMi4wbro2KNgw0Qw51oErSHI/D0g==" saltValue="y6efMcaOcLoZotYHCnH3lQ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4780-81AB-45DD-BC36-4D377A10CBAB}">
  <dimension ref="A1:D11"/>
  <sheetViews>
    <sheetView workbookViewId="0">
      <selection activeCell="B17" sqref="B17"/>
    </sheetView>
  </sheetViews>
  <sheetFormatPr defaultRowHeight="15"/>
  <cols>
    <col min="1" max="1" width="15.5703125" bestFit="1" customWidth="1"/>
    <col min="2" max="2" width="17.28515625" customWidth="1"/>
  </cols>
  <sheetData>
    <row r="1" spans="1:4">
      <c r="A1" s="145" t="s">
        <v>379</v>
      </c>
      <c r="B1" s="145" t="s">
        <v>387</v>
      </c>
    </row>
    <row r="2" spans="1:4">
      <c r="A2">
        <v>0</v>
      </c>
      <c r="B2">
        <v>0</v>
      </c>
    </row>
    <row r="3" spans="1:4">
      <c r="A3" s="143">
        <v>40</v>
      </c>
      <c r="B3" s="144">
        <v>273.42</v>
      </c>
      <c r="D3" s="146"/>
    </row>
    <row r="4" spans="1:4">
      <c r="A4" s="143">
        <v>50</v>
      </c>
      <c r="B4" s="144">
        <v>502.65</v>
      </c>
      <c r="D4" s="146"/>
    </row>
    <row r="5" spans="1:4">
      <c r="A5" s="143">
        <v>60</v>
      </c>
      <c r="B5" s="144">
        <v>615.16999999999996</v>
      </c>
      <c r="D5" s="146"/>
    </row>
    <row r="6" spans="1:4">
      <c r="A6" s="143">
        <v>65</v>
      </c>
      <c r="B6" s="144">
        <v>666.44</v>
      </c>
      <c r="D6" s="146"/>
    </row>
    <row r="7" spans="1:4">
      <c r="A7" s="143">
        <v>80</v>
      </c>
      <c r="B7" s="144">
        <v>1076.56</v>
      </c>
      <c r="D7" s="146"/>
    </row>
    <row r="8" spans="1:4">
      <c r="A8" s="143">
        <v>100</v>
      </c>
      <c r="B8" s="144">
        <v>1708.84</v>
      </c>
      <c r="D8" s="146"/>
    </row>
    <row r="9" spans="1:4">
      <c r="A9" s="143">
        <v>150</v>
      </c>
      <c r="B9" s="144">
        <v>2734.13</v>
      </c>
      <c r="D9" s="146"/>
    </row>
    <row r="10" spans="1:4">
      <c r="A10" s="143">
        <v>200</v>
      </c>
      <c r="B10" s="144">
        <v>6835.33</v>
      </c>
      <c r="D10" s="146"/>
    </row>
    <row r="11" spans="1:4">
      <c r="A11" s="142"/>
    </row>
  </sheetData>
  <sheetProtection algorithmName="SHA-512" hashValue="xamDBXU74shjQB/E6QO6m0KmrOyWBtOfJWY3U8wenz5C14U6Muazp2Z8Qju/kpS0jEpvM8tYSMvJ3wx8n+pLow==" saltValue="8PZwaogqI+qMaMn3ZlulAQ==" spinCount="100000" sheet="1" selectLockedCells="1"/>
  <autoFilter ref="A1:B10" xr:uid="{F8EB4780-81AB-45DD-BC36-4D377A10CBAB}"/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L20"/>
  <sheetViews>
    <sheetView workbookViewId="0">
      <selection activeCell="C18" sqref="C18"/>
    </sheetView>
  </sheetViews>
  <sheetFormatPr defaultColWidth="9.140625" defaultRowHeight="15"/>
  <cols>
    <col min="1" max="1" width="2.7109375" style="1" customWidth="1"/>
    <col min="2" max="2" width="52.140625" style="1" customWidth="1"/>
    <col min="3" max="3" width="49" style="5" customWidth="1"/>
    <col min="4" max="4" width="4.140625" style="1" customWidth="1"/>
    <col min="5" max="5" width="47.140625" style="70" customWidth="1"/>
    <col min="6" max="6" width="2.140625" style="1" customWidth="1"/>
    <col min="7" max="7" width="73.7109375" style="1" customWidth="1"/>
    <col min="8" max="9" width="9.140625" style="1"/>
    <col min="10" max="10" width="28.5703125" style="1" customWidth="1"/>
    <col min="11" max="11" width="22" style="1" customWidth="1"/>
    <col min="12" max="16384" width="9.140625" style="1"/>
  </cols>
  <sheetData>
    <row r="2" spans="1:12" ht="26.25">
      <c r="B2" s="68" t="s">
        <v>361</v>
      </c>
      <c r="C2" s="69"/>
    </row>
    <row r="4" spans="1:12" s="4" customFormat="1" ht="18.75">
      <c r="B4" s="71" t="s">
        <v>362</v>
      </c>
      <c r="C4" s="72" t="s">
        <v>363</v>
      </c>
      <c r="D4" s="72"/>
      <c r="E4" s="73"/>
      <c r="G4" s="71" t="s">
        <v>364</v>
      </c>
    </row>
    <row r="5" spans="1:12">
      <c r="D5" s="5"/>
    </row>
    <row r="6" spans="1:12" s="76" customFormat="1" ht="31.5" customHeight="1">
      <c r="A6" s="74"/>
      <c r="B6" s="75" t="s">
        <v>367</v>
      </c>
      <c r="C6" s="66"/>
      <c r="E6" s="77" t="str">
        <f>IF(C6="","",IF(C6="Nee, er is geen wooneenheid (enkel een watermeter)","NIET-HUISHOUDELIJK TARIEF (geen switch mogelijk)","Ga naar vraag 2"))</f>
        <v/>
      </c>
      <c r="G6" s="78" t="str">
        <f>IF(C6="","",IF(C6="Nee, er is geen wooneenheid (enkel een watermeter)","Brandmeter, collectieve warmwatermeter, fontein, winkel",""))</f>
        <v/>
      </c>
    </row>
    <row r="7" spans="1:12" ht="15.75">
      <c r="A7" s="79"/>
      <c r="B7" s="80"/>
      <c r="E7" s="77"/>
      <c r="G7" s="81"/>
    </row>
    <row r="8" spans="1:12" s="76" customFormat="1" ht="31.5" customHeight="1">
      <c r="A8" s="74"/>
      <c r="B8" s="75" t="str">
        <f>IF(E6="Ga naar vraag 2","2. Heeft klant een heffingsdossier bij de VMM?","")</f>
        <v/>
      </c>
      <c r="C8" s="67"/>
      <c r="E8" s="77" t="str">
        <f>IF(C8="","",IF(C8="Ja, klant heeft een heffingsdossier bij de VMM","Ga naar vraag 3","Ga naar vraag 5"))</f>
        <v/>
      </c>
      <c r="G8" s="78"/>
    </row>
    <row r="9" spans="1:12" ht="15.75">
      <c r="A9" s="79"/>
      <c r="B9" s="80"/>
      <c r="E9" s="77"/>
      <c r="G9" s="81"/>
    </row>
    <row r="10" spans="1:12" s="84" customFormat="1" ht="31.5" customHeight="1">
      <c r="A10" s="82"/>
      <c r="B10" s="83" t="str">
        <f>IF(E8="Ga naar vraag 3","3. Zijn er meer dan 4 wooneenheden aan de installatie verbonden?","")</f>
        <v/>
      </c>
      <c r="C10" s="67"/>
      <c r="E10" s="77" t="str">
        <f>IF(C10="","",IF(C10="Ja, er zijn meer dan 4 wooneenheden","HUISHOUDELIJK TARIEF (switch mogelijk)","Ga naar vraag 4"))</f>
        <v/>
      </c>
      <c r="G10" s="85" t="str">
        <f>IF(C10="","",IF(C10="Ja, er zijn meer dan 4 wooneenheden"," Appartementsgebouwen met hoog verbruik en collectieve watermeters, appartementsblokken aan zee",""))</f>
        <v/>
      </c>
    </row>
    <row r="11" spans="1:12" ht="15.75">
      <c r="A11" s="79"/>
      <c r="B11" s="80"/>
      <c r="E11" s="77"/>
      <c r="G11" s="81"/>
    </row>
    <row r="12" spans="1:12" s="84" customFormat="1" ht="31.5" customHeight="1">
      <c r="A12" s="82"/>
      <c r="B12" s="83" t="str">
        <f>IF(E10="Ga naar vraag 4","4. Zijn er gedomicilieerden?","")</f>
        <v/>
      </c>
      <c r="C12" s="67"/>
      <c r="E12" s="77" t="str">
        <f>IF(C12="","",IF(C12="Ja, er zijn gedomicilieerden","NIET-HUISHOUDELIJK TARIEF (switch mogelijk)","NIET-HUISHOUDELIJK TARIEF (geen switch mogelijk)"))</f>
        <v/>
      </c>
      <c r="G12" s="86" t="str">
        <f>IF(C12="","",IF(C12="Ja, er zijn gedomicilieerden","NRL-landbouwer, bedrijf met conciërgewoning",""))</f>
        <v/>
      </c>
      <c r="K12" s="87"/>
      <c r="L12" s="87"/>
    </row>
    <row r="13" spans="1:12" ht="15.75">
      <c r="A13" s="79"/>
      <c r="B13" s="80"/>
      <c r="E13" s="77"/>
      <c r="G13" s="81"/>
      <c r="K13" s="4"/>
      <c r="L13" s="4"/>
    </row>
    <row r="14" spans="1:12" s="84" customFormat="1" ht="31.5" customHeight="1">
      <c r="A14" s="82"/>
      <c r="B14" s="83" t="str">
        <f>IF(E8="Ga naar vraag 5","5. Is er meer dan 1 wooneenheid aan de installatie verbonden?","")</f>
        <v/>
      </c>
      <c r="C14" s="67"/>
      <c r="E14" s="77" t="str">
        <f>IF(C14="","",IF(C14="Ja, er is meer dan één wooneenheid","Ga naar vraag 6","Ga naar vraag 6"))</f>
        <v/>
      </c>
      <c r="F14" s="88"/>
      <c r="G14" s="86"/>
      <c r="H14" s="88"/>
      <c r="I14" s="88"/>
      <c r="J14" s="88"/>
    </row>
    <row r="15" spans="1:12" ht="18.75">
      <c r="A15" s="79"/>
      <c r="B15" s="80"/>
      <c r="E15" s="77"/>
      <c r="F15" s="89"/>
      <c r="G15" s="81"/>
      <c r="H15" s="89"/>
      <c r="I15" s="89"/>
      <c r="J15" s="89"/>
    </row>
    <row r="16" spans="1:12" s="84" customFormat="1" ht="31.5" customHeight="1">
      <c r="A16" s="82"/>
      <c r="B16" s="83" t="str">
        <f>IF(E14="Ga naar vraag 6","6. Heeft klant een KBO-nummer (ondernemingsnummer, BTW-nummer)?","")</f>
        <v/>
      </c>
      <c r="C16" s="67"/>
      <c r="E16" s="77" t="str">
        <f>IF(C14="","",IF(AND(C14="Ja, er is meer dan één wooneenheid",C16="Ja, klant heeft een KBO-nummer"),"HUISHOUDELIJK TARIEF (switch mogelijk)",IF(AND(C14="Ja, er is meer dan één wooneenheid",C16="Nee, klant heeft geen KBO-nummer"),"HUISHOUDELIJK TARIEF (geen switch mogelijk)",IF(AND(C14="Nee, er is niet meer dan één wooneenheid",C16="Nee, klant heeft geen KBO-nummer"),"HUISHOUDELIJK TARIEF (geen switch mogelijk)",IF(AND(C14="Nee, er is niet meer dan één wooneenheid",C16="Ja, klant heeft een KBO-nummer"),"Ga naar vraag 7","")))))</f>
        <v/>
      </c>
      <c r="F16" s="88"/>
      <c r="G16" s="86" t="str">
        <f>IF(C14="","",IF(AND(C14="Ja, er is meer dan één wooneenheid",C16="Ja, klant heeft een KBO-nummer"),"VME met diverse winkels en appartementen",IF(AND(C14="Ja, er is meer dan één wooneenheid",C16="Nee, klant heeft geen KBO-nummer"),"Alle collectieve watermeters: studentenstudio's, appartementen",IF(AND(C14="Nee, er is niet meer dan één wooneenheid",C16="Nee, klant heeft geen KBO-nummer"),"Gezinnen, leegstaand pand",IF(AND(C14="Nee, er is niet meer dan één wooneenheid",C16="Ja, klant heeft een KBO-nummer"),"","")))))</f>
        <v/>
      </c>
      <c r="H16" s="88"/>
      <c r="I16" s="88"/>
      <c r="J16" s="88"/>
    </row>
    <row r="17" spans="1:10" ht="18.75">
      <c r="A17" s="79"/>
      <c r="B17" s="80"/>
      <c r="E17" s="77"/>
      <c r="F17" s="89"/>
      <c r="G17" s="81"/>
      <c r="H17" s="89"/>
      <c r="I17" s="89"/>
      <c r="J17" s="89"/>
    </row>
    <row r="18" spans="1:10" s="84" customFormat="1" ht="31.5" customHeight="1">
      <c r="A18" s="82"/>
      <c r="B18" s="83" t="str">
        <f>IF(E16="Ga naar vraag 7","7. Zijn er gedomicilieerden?","")</f>
        <v/>
      </c>
      <c r="C18" s="67"/>
      <c r="E18" s="77" t="str">
        <f>IF(C18="","",IF(C18="Ja, er zijn gedomicilieerden","HUISHOUDELIJK TARIEF (switch mogelijk)","NIET-HUISHOUDELIJK TARIEF (switch mogelijk)"))</f>
        <v/>
      </c>
      <c r="F18" s="88"/>
      <c r="G18" s="86" t="str">
        <f>IF(C18="","",IF(C18="Ja, er zijn gedomicilieerden","Kleine zelfstandige die boven een zaak woont","Kleine zelfstandige met wooneenheden boven de zaak"))</f>
        <v/>
      </c>
      <c r="H18" s="88"/>
      <c r="I18" s="88"/>
      <c r="J18" s="88"/>
    </row>
    <row r="19" spans="1:10" ht="18.75">
      <c r="A19" s="90"/>
      <c r="B19" s="90"/>
      <c r="C19" s="72"/>
      <c r="D19" s="71"/>
      <c r="E19" s="91"/>
      <c r="F19" s="89"/>
      <c r="G19" s="89"/>
      <c r="H19" s="89"/>
      <c r="I19" s="89"/>
      <c r="J19" s="89"/>
    </row>
    <row r="20" spans="1:10" ht="18.75">
      <c r="C20" s="72"/>
      <c r="D20" s="71"/>
      <c r="E20" s="91"/>
      <c r="F20" s="89"/>
      <c r="G20" s="89"/>
      <c r="H20" s="89"/>
      <c r="I20" s="89"/>
      <c r="J20" s="89"/>
    </row>
  </sheetData>
  <sheetProtection algorithmName="SHA-512" hashValue="ygkcDhmooynYSa34olGxkwSx3074b+PkcI1c/cl+/Ic7ONiS9Ln4qEox9JjBmEmQh9wouy3fYVvpTbUy2TttqA==" saltValue="1CrGTxx7HNVuCz5VsbBQ6g==" spinCount="100000" sheet="1" selectLockedCells="1"/>
  <dataValidations count="1">
    <dataValidation type="list" allowBlank="1" showInputMessage="1" showErrorMessage="1" sqref="C17 C15 C7 C9 C11 D6:D18 C13" xr:uid="{00000000-0002-0000-0700-000000000000}">
      <formula1>#REF!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700-000006000000}">
          <x14:formula1>
            <xm:f>Blad4!$A$5:$A$6</xm:f>
          </x14:formula1>
          <xm:sqref>C8</xm:sqref>
        </x14:dataValidation>
        <x14:dataValidation type="list" allowBlank="1" showInputMessage="1" showErrorMessage="1" xr:uid="{00000000-0002-0000-0700-000007000000}">
          <x14:formula1>
            <xm:f>Blad4!$A$20:$A$21</xm:f>
          </x14:formula1>
          <xm:sqref>C18</xm:sqref>
        </x14:dataValidation>
        <x14:dataValidation type="list" errorStyle="information" allowBlank="1" showInputMessage="1" showErrorMessage="1" xr:uid="{00000000-0002-0000-0700-000008000000}">
          <x14:formula1>
            <xm:f>Blad4!$A$2:$A$3</xm:f>
          </x14:formula1>
          <xm:sqref>C6</xm:sqref>
        </x14:dataValidation>
        <x14:dataValidation type="list" allowBlank="1" showInputMessage="1" showErrorMessage="1" xr:uid="{00000000-0002-0000-0700-000009000000}">
          <x14:formula1>
            <xm:f>Blad4!$A$8:$A$9</xm:f>
          </x14:formula1>
          <xm:sqref>C10</xm:sqref>
        </x14:dataValidation>
        <x14:dataValidation type="list" allowBlank="1" showInputMessage="1" showErrorMessage="1" xr:uid="{00000000-0002-0000-0700-00000A000000}">
          <x14:formula1>
            <xm:f>Blad4!$A$11:$A$12</xm:f>
          </x14:formula1>
          <xm:sqref>C12</xm:sqref>
        </x14:dataValidation>
        <x14:dataValidation type="list" allowBlank="1" showInputMessage="1" showErrorMessage="1" xr:uid="{00000000-0002-0000-0700-00000B000000}">
          <x14:formula1>
            <xm:f>Blad4!$A$14:$A$15</xm:f>
          </x14:formula1>
          <xm:sqref>C14</xm:sqref>
        </x14:dataValidation>
        <x14:dataValidation type="list" allowBlank="1" showInputMessage="1" showErrorMessage="1" xr:uid="{00000000-0002-0000-0700-00000C000000}">
          <x14:formula1>
            <xm:f>Blad4!$A$17:$A$18</xm:f>
          </x14:formula1>
          <xm:sqref>C16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pplication xmlns="http://www.sap.com/cof/excel/application">
  <Version>2</Version>
  <Revision>2.3.1.59180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DService24-882-7</_dlc_DocId>
    <_dlc_DocIdUrl xmlns="7c24228e-b776-44be-834e-bba0c1580689">
      <Url>http://intranet.farys.be/departementen/senv/Operationeel/Opleidingen/_layouts/DocIdRedir.aspx?ID=DService24-882-7</Url>
      <Description>DService24-882-7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C6E686-E36A-472E-A269-A8C560898EA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0174A32-36F7-4AD9-A553-06936737A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F32A2-5558-4B6B-80FF-854B220F6A95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D373D776-74A9-43EA-8D14-4BBA3292E4E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c24228e-b776-44be-834e-bba0c1580689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7A98E03-B5A2-439B-A5F5-32855212E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1222792-A836-492C-B95A-4ECF7F2ACA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Berekening verbruik</vt:lpstr>
      <vt:lpstr>Huishoudelijk</vt:lpstr>
      <vt:lpstr>Niet huishoudelijk</vt:lpstr>
      <vt:lpstr>Blad1</vt:lpstr>
      <vt:lpstr>PRIJS DW</vt:lpstr>
      <vt:lpstr>PRIJS GB NHH</vt:lpstr>
      <vt:lpstr>PRIJS GB HH</vt:lpstr>
      <vt:lpstr>PRIJS CAPA</vt:lpstr>
      <vt:lpstr>HH of NHH</vt:lpstr>
      <vt:lpstr>Blad4</vt:lpstr>
    </vt:vector>
  </TitlesOfParts>
  <Company>TMVW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Simulatietool nieuwe factuur</dc:title>
  <dc:creator>Dirk Bosmans</dc:creator>
  <cp:keywords>meterstand, verbruik, tussentijdse factuur</cp:keywords>
  <cp:lastModifiedBy>Nele De Naeyer</cp:lastModifiedBy>
  <cp:lastPrinted>2015-11-30T10:35:18Z</cp:lastPrinted>
  <dcterms:created xsi:type="dcterms:W3CDTF">2013-01-23T07:44:35Z</dcterms:created>
  <dcterms:modified xsi:type="dcterms:W3CDTF">2026-01-12T08:15:35Z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97b23b85-3d98-4da2-87aa-6fa9a8c41f39</vt:lpwstr>
  </property>
  <property fmtid="{D5CDD505-2E9C-101B-9397-08002B2CF9AE}" pid="3" name="ContentTypeId">
    <vt:lpwstr>0x010100D33C4BAC76EE6D468C2B50EFFA754165</vt:lpwstr>
  </property>
  <property fmtid="{D5CDD505-2E9C-101B-9397-08002B2CF9AE}" pid="4" name="Document Type">
    <vt:lpwstr>3;#Werkdocument|4b7df9ff-875e-45ab-8938-5af85d2d439b</vt:lpwstr>
  </property>
</Properties>
</file>